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unzi\Desktop\Doc per Compliance\CV per incarichi da marzo2019_rev\"/>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0" yWindow="0" windowWidth="28800" windowHeight="1170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<sst xmlns="http://schemas.openxmlformats.org/spreadsheetml/2006/main" count="1025" uniqueCount="753">
  <si>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</si>
  <si>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</si>
  <si>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</si>
  <si>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</si>
  <si>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</si>
  <si>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</si>
  <si>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</si>
  <si>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</si>
  <si>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</si>
  <si>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</si>
  <si>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</si>
  <si>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</si>
  <si>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</si>
  <si>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</si>
  <si>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</si>
  <si>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</si>
  <si>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</si>
  <si>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</si>
  <si>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</si>
  <si>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</si>
  <si>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</si>
  <si>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</si>
  <si>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</si>
  <si>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</si>
  <si>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</si>
  <si>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</si>
  <si>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</si>
  <si>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</si>
  <si>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</si>
  <si>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</si>
  <si>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</si>
  <si>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</si>
  <si>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</si>
  <si>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</si>
  <si>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</si>
  <si>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</si>
  <si>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</si>
  <si>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</si>
  <si>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</si>
  <si>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</si>
  <si>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</si>
  <si>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</si>
  <si>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</si>
  <si>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</si>
  <si>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</si>
  <si>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</si>
  <si>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</si>
  <si>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</si>
  <si>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</si>
  <si>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</si>
  <si>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</si>
  <si>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</si>
  <si>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</si>
  <si>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</si>
  <si>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</si>
  <si>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</si>
  <si>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</si>
  <si>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</si>
  <si>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</si>
  <si>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</si>
  <si>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</si>
  <si>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</si>
  <si>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</si>
  <si>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</si>
  <si>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</si>
  <si>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</si>
  <si>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</si>
  <si>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</si>
  <si>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</si>
  <si>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</si>
  <si>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</si>
  <si>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</si>
  <si>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</si>
  <si>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</si>
  <si>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</si>
  <si>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</si>
  <si>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</si>
  <si>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</si>
  <si>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</si>
  <si>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</si>
  <si>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</si>
  <si>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</si>
  <si>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</si>
  <si>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</si>
  <si>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</si>
  <si>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</si>
  <si>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</si>
  <si>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</si>
  <si>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</si>
  <si>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</si>
  <si>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</si>
  <si>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</si>
  <si>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</si>
  <si>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</si>
  <si>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</si>
  <si>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</si>
  <si>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</si>
  <si>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</si>
  <si>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</si>
  <si>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</si>
  <si>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</si>
  <si>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</si>
  <si>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</si>
  <si>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</si>
  <si>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</si>
  <si>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</si>
  <si>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</si>
  <si>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</si>
  <si>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</si>
  <si>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</si>
  <si>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</si>
  <si>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</si>
  <si>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</si>
  <si>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</si>
  <si>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</si>
  <si>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</si>
  <si>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</si>
  <si>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</si>
  <si>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</si>
  <si>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</si>
  <si>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</si>
  <si>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</si>
  <si>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</si>
  <si>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</si>
  <si>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</si>
  <si>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</si>
  <si>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</si>
  <si>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</si>
  <si>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</si>
  <si>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</si>
  <si>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</si>
  <si>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</si>
  <si>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</si>
  <si>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</si>
  <si>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</si>
  <si>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</si>
  <si>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</si>
  <si>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</si>
  <si>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</si>
  <si>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</si>
  <si>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</si>
  <si>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</si>
  <si>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</si>
  <si>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</si>
  <si>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</si>
  <si>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</si>
  <si>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</si>
  <si>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</si>
  <si>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</si>
  <si>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</si>
  <si>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</si>
  <si>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</si>
  <si>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</si>
  <si>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</si>
  <si>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</si>
  <si>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</si>
  <si>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</si>
  <si>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</si>
  <si>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</si>
  <si>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</si>
  <si>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</si>
  <si>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</si>
  <si>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</si>
  <si>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</si>
  <si>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</si>
  <si>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</si>
  <si>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</si>
  <si>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</si>
  <si>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</si>
  <si>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</si>
  <si>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</si>
  <si>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</si>
  <si>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</si>
  <si>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</si>
  <si>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</si>
  <si>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</si>
  <si>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</si>
  <si>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</si>
  <si>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</si>
  <si>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</si>
  <si>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</si>
  <si>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</si>
  <si>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</si>
  <si>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</si>
  <si>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</si>
  <si>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</si>
  <si>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</si>
  <si>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</si>
  <si>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</si>
  <si>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</si>
  <si>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</si>
  <si>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</si>
  <si>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</si>
  <si>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</si>
  <si>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</si>
  <si>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</si>
  <si>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</si>
  <si>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</si>
  <si>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</si>
  <si>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</si>
  <si>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</si>
  <si>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</si>
  <si>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</si>
  <si>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</si>
  <si>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</si>
  <si>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</si>
  <si>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</si>
  <si>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</si>
  <si>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</si>
  <si>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</si>
  <si>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</si>
  <si>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</si>
  <si>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</si>
  <si>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</si>
  <si>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</si>
  <si>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</si>
  <si>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</si>
  <si>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</si>
  <si>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</si>
  <si>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</si>
  <si>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</si>
  <si>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</si>
  <si>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</si>
  <si>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</si>
  <si>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</si>
  <si>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</si>
  <si>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</si>
  <si>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</si>
  <si>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</si>
  <si>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</si>
  <si>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</si>
  <si>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</si>
  <si>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</si>
  <si>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</si>
  <si>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</si>
  <si>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</si>
  <si>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</si>
  <si>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</si>
  <si>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</si>
  <si>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</si>
  <si>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</si>
  <si>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</si>
  <si>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</si>
  <si>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</si>
  <si>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</si>
  <si>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</si>
  <si>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</si>
  <si>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</si>
  <si>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</si>
  <si>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</si>
  <si>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</si>
  <si>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</si>
  <si>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</si>
  <si>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</si>
  <si>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</si>
  <si>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</si>
  <si>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</si>
  <si>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</si>
  <si>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</si>
  <si>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</si>
  <si>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</si>
  <si>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</si>
  <si>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</si>
  <si>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</si>
  <si>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</si>
  <si>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</si>
  <si>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</si>
  <si>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</si>
  <si>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</si>
  <si>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</si>
  <si>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</si>
  <si>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</si>
  <si>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</si>
  <si>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</si>
  <si>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</si>
  <si>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</si>
  <si>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</si>
  <si>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</si>
  <si>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</si>
  <si>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</si>
  <si>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</si>
  <si>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</si>
  <si>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</si>
  <si>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</si>
  <si>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</si>
  <si>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</si>
  <si>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</si>
  <si>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</si>
  <si>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</si>
  <si>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</si>
  <si>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</si>
  <si>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</si>
  <si>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</si>
  <si>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</si>
  <si>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</si>
  <si>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</si>
  <si>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</si>
  <si>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</si>
  <si>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</si>
  <si>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</si>
  <si>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</si>
  <si>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</si>
  <si>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</si>
  <si>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</si>
  <si>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</si>
  <si>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</si>
  <si>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</si>
  <si>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</si>
  <si>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</si>
  <si>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</si>
  <si>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</si>
  <si>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</si>
  <si>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</si>
  <si>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</si>
  <si>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</si>
  <si>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</si>
  <si>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</si>
  <si>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</si>
  <si>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</si>
  <si>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</si>
  <si>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</si>
  <si>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</si>
  <si>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</si>
  <si>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</si>
  <si>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</si>
  <si>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</si>
  <si>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</si>
  <si>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</si>
  <si>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</si>
  <si>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</si>
  <si>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</si>
  <si>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</si>
  <si>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</si>
  <si>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</si>
  <si>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</si>
  <si>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</si>
  <si>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</si>
  <si>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</si>
  <si>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</si>
  <si>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</si>
  <si>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</si>
  <si>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</si>
  <si>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</si>
  <si>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</si>
  <si>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</si>
  <si>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</si>
  <si>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</si>
  <si>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</si>
  <si>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</si>
  <si>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</si>
  <si>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</si>
  <si>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</si>
  <si>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</si>
  <si>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</si>
  <si>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</si>
  <si>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</si>
  <si>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</si>
  <si>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</si>
  <si>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</si>
  <si>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</si>
  <si>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</si>
  <si>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</si>
  <si>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</si>
  <si>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</si>
  <si>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</si>
  <si>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</si>
  <si>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</si>
  <si>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</si>
  <si>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</si>
  <si>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</si>
  <si>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</si>
  <si>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</si>
  <si>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</si>
  <si>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</si>
  <si>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</si>
  <si>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</si>
  <si>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</si>
  <si>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</si>
  <si>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</si>
  <si>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</si>
  <si>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</si>
  <si>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</si>
  <si>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</si>
  <si>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</si>
  <si>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</si>
  <si>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</si>
  <si>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</si>
  <si>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</si>
  <si>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</si>
  <si>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</si>
  <si>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</si>
  <si>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</si>
  <si>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</si>
  <si>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</si>
  <si>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</si>
  <si>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</si>
  <si>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</si>
  <si>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</si>
  <si>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</si>
  <si>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</si>
  <si>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</si>
  <si>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</si>
  <si>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</si>
  <si>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</si>
  <si>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</si>
  <si>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</si>
  <si>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</si>
  <si>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</si>
  <si>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</si>
  <si>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</si>
  <si>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</si>
  <si>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</si>
  <si>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</si>
  <si>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</si>
  <si>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</si>
  <si>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</si>
  <si>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</si>
  <si>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</si>
  <si>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</si>
  <si>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</si>
  <si>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</si>
  <si>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</si>
  <si>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</si>
  <si>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</si>
  <si>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</si>
  <si>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</si>
  <si>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</si>
  <si>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</si>
  <si>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</si>
  <si>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</si>
  <si>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</si>
  <si>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</si>
  <si>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</si>
  <si>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</si>
  <si>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</si>
  <si>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</si>
  <si>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</si>
  <si>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</si>
  <si>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</si>
  <si>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</si>
  <si>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</si>
  <si>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</si>
  <si>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</si>
  <si>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</si>
  <si>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</si>
  <si>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</si>
  <si>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</si>
  <si>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</si>
  <si>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</si>
  <si>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</si>
  <si>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</si>
  <si>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</si>
  <si>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</si>
  <si>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</si>
  <si>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</si>
  <si>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</si>
  <si>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</si>
  <si>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</si>
  <si>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</si>
  <si>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</si>
  <si>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</si>
  <si>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</si>
  <si>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</si>
  <si>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</si>
  <si>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</si>
  <si>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</si>
  <si>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</si>
  <si>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</si>
  <si>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</si>
  <si>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</si>
  <si>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</si>
  <si>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</si>
  <si>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</si>
  <si>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</si>
  <si>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</si>
  <si>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</si>
  <si>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</si>
  <si>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</si>
  <si>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</si>
  <si>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</si>
  <si>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</si>
  <si>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</si>
  <si>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</si>
  <si>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</si>
  <si>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</si>
  <si>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</si>
  <si>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</si>
  <si>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</si>
  <si>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</si>
  <si>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</si>
  <si>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</si>
  <si>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</si>
  <si>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</si>
  <si>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</si>
  <si>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</si>
  <si>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</si>
  <si>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</si>
  <si>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</si>
  <si>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</si>
  <si>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</si>
  <si>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</si>
  <si>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</si>
  <si>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</si>
  <si>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</si>
  <si>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</si>
  <si>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</si>
  <si>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</si>
  <si>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</si>
  <si>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</si>
  <si>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</si>
  <si>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</si>
  <si>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</si>
  <si>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</si>
  <si>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</si>
  <si>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</si>
  <si>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</si>
  <si>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</si>
  <si>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</si>
  <si>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</si>
  <si>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</si>
  <si>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</si>
  <si>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</si>
  <si>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</si>
  <si>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</si>
  <si>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</si>
  <si>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</si>
  <si>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</si>
  <si>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</si>
  <si>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</si>
  <si>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</si>
  <si>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</si>
  <si>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</si>
  <si>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</si>
  <si>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</si>
  <si>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</si>
  <si>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</si>
  <si>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</si>
  <si>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</si>
  <si>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</si>
  <si>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</si>
  <si>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</si>
  <si>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</si>
  <si>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</si>
  <si>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</si>
  <si>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</si>
  <si>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</si>
  <si>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</si>
  <si>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</si>
  <si>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</si>
  <si>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</si>
  <si>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</si>
  <si>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</si>
  <si>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</si>
  <si>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</si>
  <si>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</si>
  <si>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</si>
  <si>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</si>
  <si>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</si>
  <si>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</si>
  <si>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</si>
  <si>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</si>
  <si>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</si>
  <si>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</si>
  <si>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</si>
  <si>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</si>
  <si>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</si>
  <si>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</si>
  <si>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</si>
  <si>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</si>
  <si>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</si>
  <si>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</si>
  <si>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</si>
  <si>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</si>
  <si>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</si>
  <si>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</si>
  <si>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</si>
  <si>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</si>
  <si>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</si>
  <si>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</si>
  <si>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</si>
  <si>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</si>
  <si>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</si>
  <si>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</si>
  <si>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</si>
  <si>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</si>
  <si>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</si>
  <si>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</si>
  <si>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</si>
  <si>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</si>
  <si>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</si>
  <si>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</si>
  <si>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</si>
  <si>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</si>
  <si>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</si>
  <si>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</si>
  <si>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</si>
  <si>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</si>
  <si>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</si>
  <si>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</si>
  <si>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</si>
  <si>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</si>
  <si>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</si>
  <si>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</si>
  <si>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</si>
  <si>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</si>
  <si>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</si>
  <si>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</si>
  <si>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</si>
  <si>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</si>
  <si>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</si>
  <si>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</si>
  <si>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</si>
  <si>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</si>
  <si>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</si>
  <si>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</si>
  <si>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</si>
  <si>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</si>
  <si>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</si>
  <si>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</si>
  <si>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</si>
  <si>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</si>
  <si>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</si>
  <si>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</si>
  <si>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</si>
  <si>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</si>
  <si>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</si>
  <si>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</si>
  <si>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</si>
  <si>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</si>
  <si>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</si>
  <si>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</si>
  <si>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</si>
  <si>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</si>
  <si>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</si>
  <si>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</si>
  <si>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</si>
  <si>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</si>
  <si>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</si>
  <si>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</si>
  <si>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</si>
  <si>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</si>
  <si>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</si>
  <si>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</si>
  <si>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</si>
  <si>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</si>
  <si>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</si>
  <si>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</si>
  <si>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</si>
  <si>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</si>
  <si>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</si>
  <si>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</si>
  <si>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</si>
  <si>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</si>
  <si>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</si>
  <si>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</si>
  <si>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</si>
  <si>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</si>
  <si>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</si>
  <si>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</si>
  <si>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</si>
  <si>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</si>
  <si>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</si>
  <si>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</si>
  <si>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</si>
  <si>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</si>
  <si>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</si>
  <si>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</si>
  <si>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</si>
  <si>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</si>
  <si>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</si>
  <si>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</si>
  <si>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</si>
  <si>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</si>
  <si>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</si>
  <si>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</si>
  <si>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</si>
  <si>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</si>
  <si>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Antonio</t>
  </si>
  <si>
    <t>Bologna</t>
  </si>
  <si>
    <t>Italia</t>
  </si>
  <si>
    <t>Vigevano</t>
  </si>
  <si>
    <t>Pavia</t>
  </si>
  <si>
    <t>Italiano</t>
  </si>
  <si>
    <t>Inglese</t>
  </si>
  <si>
    <t>Francese</t>
  </si>
  <si>
    <t>Scienze dell'Informazione</t>
  </si>
  <si>
    <t>1991</t>
  </si>
  <si>
    <t>Università degli Studi di Milano</t>
  </si>
  <si>
    <t>99</t>
  </si>
  <si>
    <t>Studi per una formalizzazione della diteggiatura pianistica</t>
  </si>
  <si>
    <t>Attività di coordinamento di progetti sia per imprese in forma singola sia per aggregazioni di imprese; attività di sviluppo territoriale, attraverso progettualità orientate verso le tematiche strategiche di indirizzo per lo sviluppo regionale, in particolare le sfide tecnologiche S3 e Open Innovation; Project management in campo ICT, innovazione, Internazionalizzazione, reti di impresa; sostegno e incubazione di start up</t>
  </si>
  <si>
    <t>PV</t>
  </si>
  <si>
    <t xml:space="preserve">Vigevano </t>
  </si>
  <si>
    <t>Vigevano Web</t>
  </si>
  <si>
    <t>Diapason Consortium</t>
  </si>
  <si>
    <t>Project management per l’innovazione del consorzio e delle imprese consorziate, formazione tecnica e artistica</t>
  </si>
  <si>
    <t>CESTEC, Regione Lombardia</t>
  </si>
  <si>
    <t>In corso</t>
  </si>
  <si>
    <t>Torino</t>
  </si>
  <si>
    <t>To</t>
  </si>
  <si>
    <t>Supporto tecnico e artistico alle attività del centro di produzione di Torino</t>
  </si>
  <si>
    <t>01/06/1997</t>
  </si>
  <si>
    <t>30/06/2007</t>
  </si>
  <si>
    <t>ICT, sviluppo territoriale, management di progetto, reti di impresa, internazionalizzazione</t>
  </si>
  <si>
    <t>02/05/2005</t>
  </si>
  <si>
    <t>Confartigianato Imprese Vigevano e Lomellina</t>
  </si>
  <si>
    <t>01/05/2006</t>
  </si>
  <si>
    <t>30/06/2011</t>
  </si>
  <si>
    <t>Medium Size SRL</t>
  </si>
  <si>
    <t>Pianista concertante, compositore</t>
  </si>
  <si>
    <t>ICT, internazionalizzazione, valorizzazione culturale, promozione territoriale</t>
  </si>
  <si>
    <t xml:space="preserve">Supporto ai consorziati negli ambiti ICT, dell’internazionalizzazione, della valorizzazione culturale e promozione del territorio; orientamento delle attività consortili secondo una marcata connotazione culturale, di servizio alla persona e al territorio, secondo un modello di rete di imprese nella quale trovano spazio di espressione non solo le componenti tecniche, scientifiche economiche e culturali ma anche quelle estetiche ed emotive ed affettive secondo una visione integrale dell’uomo.
 </t>
  </si>
  <si>
    <t xml:space="preserve">Cultura dell’innovazione, internazionalizzazione, promozione dell'attenzione all’ambiente
</t>
  </si>
  <si>
    <t>Project management, comunicazione, organizzazione eventi, formazione manageriale</t>
  </si>
  <si>
    <t>Amministrazione generale dell’impresa per le attività straordinarie e ordinarie</t>
  </si>
  <si>
    <t>02/01/2011</t>
  </si>
  <si>
    <t>31/12/2012</t>
  </si>
  <si>
    <t>Milano</t>
  </si>
  <si>
    <t>Management per l’avvio dell’impresa; Progettazione e coordinamento di campagne di comunicazione; Formazione aziendale rivolta ai manager; Allestimento di eventi artistici culturali e di comunicazione; Project management per le attività straordinarie; produzione artistica su basi innovative</t>
  </si>
  <si>
    <t>Musica</t>
  </si>
  <si>
    <t>Orchestra Sinfonica Nazionale della RAI, Radiotelevisione Italiana</t>
  </si>
  <si>
    <t>Consulenze per progetti di finanziamento regionali e nazionali, Responsabile della comunicazione, Project management di “tecno piattaforma-Vig”</t>
  </si>
  <si>
    <t>Rappresentanza d'impresa</t>
  </si>
  <si>
    <t xml:space="preserve">Temporary Management </t>
  </si>
  <si>
    <t>Coordinamento di progetto nel settore innovazione per due imprese nell'ambito del programma "Dinameeting"</t>
  </si>
  <si>
    <t>Conservatorio Giuseppe Verdi Milano</t>
  </si>
  <si>
    <t>Pianoforte</t>
  </si>
  <si>
    <t>1986</t>
  </si>
  <si>
    <t>8.75</t>
  </si>
  <si>
    <t>Amministrazione generale dell’impresa per le attività ordinarie</t>
  </si>
  <si>
    <t xml:space="preserve">Dirigenza categoria ICT in ambito locale, regionale e nazionale
</t>
  </si>
  <si>
    <t>SMART LIVING, Bando per la presentazione di Progetti di sviluppo sperimentale e innovazione (S&amp;I) a favore della filiera dello “Smart Living”, in attuazione della legge regionale 26/2015 “Manifattura diffusa, creativa e tecnologica 4.0” (BURL Serie Ordinaria n. 46 - Venerdì 18 novembre 2016)</t>
  </si>
  <si>
    <t>2016</t>
  </si>
  <si>
    <t>Regione Lombardia (esperienza di valutazione su commissione di Confartigianato Lombardia)</t>
  </si>
  <si>
    <t>Stimolare la collaborazione tra imprese e mondo accademico nell’ottica di “filiera allargata”, favorire il dialogo del sistema imprenditoriale con quello dell’offerta di servizi qualificati e innovativi,
rafforzare le capacità tecnologico-organizzative e manageriali delle PMI, potenziare e migliorare la promozione dell’export, nonché valorizzare le “filiere d’eccellenza territoriali”, sostenere Progetti di S&amp;I, realizzati da partenariati di imprese in collaborazione con il Sistema delle Università, finalizzati all’introduzione di prodotti, processi/servizi nuovi o migliorativi dal punto di vista tecnologico, produttivo e organizzativo, per valorizzare il tema dell’”Abitare intelligente”, con specifico riferimento ai settori Edilizia, Arredo-Legno-Casa e High-tech.</t>
  </si>
  <si>
    <t>MISE (valutazione tecnica su commissione di Comufficio, categoriale ICT di Confcommercio)</t>
  </si>
  <si>
    <t>Favorire la digitalizzazione dei processi aziendali e l'ammodernamento tecnologico delle MPMI, sostenere l’acquisto di software, hardware o servizi per il miglioramento dell'efficienza, la modernizzazione dell'organizzazione del lavoro, lo sviluppo di soluzioni di e-commerce, la connettività a banda larga e ultralarga, il collegamento alla rete internet mediante la tecnologia satellitare, la formazione qualificata del personale nel campo ICT</t>
  </si>
  <si>
    <t>2017</t>
  </si>
  <si>
    <t>Voucher per il sostegno di progetti di Digitalizzazione e ammodernamento tecnologico delle P.M.I, d.d. 24 0ttobre 2017 (GU Serie Generale n.258 del 04-11-2017)</t>
  </si>
  <si>
    <t>Bando Reti di impresa per l’Artigianato Digitale
DM 21 Giugno 2016 (GU Serie Generale n.190 del 16-08-2016)</t>
  </si>
  <si>
    <t xml:space="preserve">MISE (valutazione tecnica su commissione di Confartigianato Lombardia)
</t>
  </si>
  <si>
    <t xml:space="preserve">Agevolazioni in favore di aggregazioni di Imprese riunitesi allo scopo di promuovere attività innovative nell’ambito dell’artigianato digitale e della manifattura sostenibile (centri per l’artigianato digitale, incubatori che facilitino lo sviluppo innovativo di realtà imprenditoriali operanti nell’ambito dell’artigianato digitale, centri finalizzati all’erogazione di servizi di fabbricazione digitale).
</t>
  </si>
  <si>
    <t>07/01/2014</t>
  </si>
  <si>
    <t>Comufficio</t>
  </si>
  <si>
    <t>MI</t>
  </si>
  <si>
    <t>Temporary management</t>
  </si>
  <si>
    <t>Rappresentatività settore ICT, servizi riservati agli associati a supporto della gestione delle aziende</t>
  </si>
  <si>
    <t xml:space="preserve">Il cursus studiorum trasversale all’ambito scientifico-informatico (LAU1) e a quello artistico-musicale (LAU2) (coronato dal diploma in composizione, dal diploma e dal master di primo livello in direzione d’orchestra) consente ad Antonio Bologna di maturare una sistematica riflessione circa il bisogno di recuperare una visione olistica della conoscenza e di ritrovare un gesto espressivo unitario, secondo l’impianto filosofico di Severino Boezio. La visione boeziana è, sin dal tempo degli studi accademici, posta al servizio dello sviluppo di competenze riconducibili alla Macro Area principale di riferimento (MA1): il contributo principale della tesi di laurea, primo approdo e sintesi della formazione “bifronte” di Antonio Bologna, infatti, con il titolo "Studi per una formalizzazione della diteggiatura pianistica", è la stesura di un programma per computer capace di diteggiare un brano musicale, secondo un modello che simula il comportamento della mano umana; il tratto peculiare di questo programma è che il modello di mano viene descritto da una matrice numerica che può variare in funzione del tipo di musica da suonare, del tocco o delle caratteristiche fisiche dell'interprete, insomma da ciò che comunemente viene definito "stile" del pianista.
Dal punto di vista computazionale la diteggiatura personalizzata viene ricavata applicando l'algoritmo di Dijkstra al grafo pesato costruito applicando la matrice personalizzata al brano musicale da diteggiare. È dunque possibile individuare negli studi di Antonio Bologna uno specifico interesse ed approfondimento delle tematiche riconducibili in particolare alla sotto-area secondaria MA4 Manufacturing per prodotti personalizzati. 
</t>
  </si>
  <si>
    <t>Nel corso della propria carriera professionale Antonio Bologna sviluppa competenze negli ambiti della ricerca e dello sviluppo di idee rispondenti alla macro-area principale MA1 e ne coordina le relative progettualità per conto di imprese singole e aggregazioni di imprese. L'origine di tale attività è riconducibile agli anni '90 del 900, all'epoca delle iniziative di sviluppo economico basate sul sistema dei distretti industriali, in particolare il distretto meccano - calzaturiero di Vigevano.  L'attività è proseguita sul medesimo territorio anche negli anni successivi (con il coordinamento a valere sui Bandi Metadistretti) fino a rappresentare il territorio vigevanese sulle tematiche dell'innovazione - smart city in seno al Cluster Lombardo SCC. Negli ultimi anni, in qualità di facilitatore, fa parte del gruppo di lavoro della piattaforma di Open Innovation di Regione Lombardia. In particolare l'attività di project management viene svolta in modalità TEM non solo per conto delle imprese direttamente coinvolte nei progetti ma anche attraverso la mediazione tecnico - istituzionale di organismi di rappresentanza economica; in tal senso sono da considerare significative le sistematiche esperienze riconducibili a EP2, EP6, EP7.</t>
  </si>
  <si>
    <t>Consulenza esterna nell'attività di supporto alle Imprese associate nella definizione di progetti singoli o in aggregazione con eventuale accesso ai fondi di finanziamento pubblici e privati; project management dei progetti in via di realizzazione</t>
  </si>
  <si>
    <t xml:space="preserve">Nel corso della propria carriera professionale Antonio Bologna sviluppa competenze negli ambiti della ricerca e dello sviluppo di idee rispondenti alla macro-area MA2 e ne coordina le relative progettualità per conto di imprese singole e aggregazioni di imprese. L'attività svolta in seno al sistema dei Distretti Industriali (secondo quanto dettagliato nel precedente campo M030) è afferente, in particolare, alla sotto-area secondaria ICC4 Moda e Design. L'attività riconducibile a EP4 risulta fondamentale, in quanto esperienza a contatto diretto con una vera e propria "Industria culturale" e consente ad Antonio Bologna di approfondire le proprie conoscenze riconducibili all'ambito della produzione artistica. Negli anni successivi svolge la propria attività di project management in modalità TEM non solo per conto delle imprese direttamente coinvolte nei progetti ma anche attraverso la mediazione tecnico - istituzionale di organismi di rappresentanza economica; in particolare tale attività lo conduce a sviluppare numerose progettualità riconducibili alle sotto-aree ICC3 Strumentazione e sensoristica per la diagnostica e la sicurezza dei Beni Culturali, ICC4 Moda e Design, ICC5 Esperienze coinvolgenti, sicure e partecipative dei contenuti digitali. In sal senso sono significative EP1, EP2, EP5.
</t>
  </si>
  <si>
    <t>Il cursus studiorum trasversale all’ambito scientifico-informatico (LAU1) e a quello artistico-musicale (LAU2) (coronato dal diploma in composizione, dal diploma e dal master di primo livello in direzione d’orchestra) consente ad Antonio Bologna non solo di sviluppare una profonda sensibilità ed attenzione alle tematiche artistico - culturali ma anche di mettere di disposizione di queste le proprie competenze tecnico - informatiche.</t>
  </si>
  <si>
    <t>1967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</si>
</sst>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9">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vertical="center" wrapText="1"/>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A19" zoomScaleNormal="100" workbookViewId="0">
      <selection activeCell="D38" sqref="D38"/>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36" t="s">
        <v>207</v>
      </c>
      <c r="D6" s="36"/>
    </row>
    <row r="7" spans="1:4" ht="15" customHeight="1" x14ac:dyDescent="0.35">
      <c r="A7" s="11" t="s">
        <v>104</v>
      </c>
      <c r="B7" s="5"/>
      <c r="C7" s="6" t="s">
        <v>105</v>
      </c>
      <c r="D7" s="12" t="str">
        <f>nome&amp;" "&amp;cognome&amp;"; "&amp;codice_fiscale</f>
        <v xml:space="preserve">Antonio Bologna; </v>
      </c>
    </row>
    <row r="8" spans="1:4" ht="15" customHeight="1" x14ac:dyDescent="0.35">
      <c r="A8" s="11"/>
      <c r="B8" s="5"/>
      <c r="C8" s="5"/>
      <c r="D8" s="5"/>
    </row>
    <row r="9" spans="1:4" ht="20" x14ac:dyDescent="0.35">
      <c r="A9" s="11"/>
      <c r="B9" s="5"/>
      <c r="C9" s="34" t="s">
        <v>172</v>
      </c>
      <c r="D9" s="34"/>
    </row>
    <row r="10" spans="1:4" ht="15" customHeight="1" x14ac:dyDescent="0.35">
      <c r="A10" s="11"/>
      <c r="B10" s="5"/>
      <c r="C10" s="5"/>
      <c r="D10" s="5"/>
    </row>
    <row r="11" spans="1:4" ht="15" customHeight="1" x14ac:dyDescent="0.35">
      <c r="A11" s="11" t="s">
        <v>91</v>
      </c>
      <c r="B11" s="5"/>
      <c r="C11" s="6" t="s">
        <v>60</v>
      </c>
      <c r="D11" s="3" t="s">
        <v>677</v>
      </c>
    </row>
    <row r="12" spans="1:4" ht="15" customHeight="1" x14ac:dyDescent="0.35">
      <c r="A12" s="11" t="s">
        <v>92</v>
      </c>
      <c r="B12" s="5"/>
      <c r="C12" s="6" t="s">
        <v>61</v>
      </c>
      <c r="D12" s="3" t="s">
        <v>678</v>
      </c>
    </row>
    <row r="13" spans="1:4" ht="15" customHeight="1" x14ac:dyDescent="0.35">
      <c r="A13" s="11" t="s">
        <v>93</v>
      </c>
      <c r="B13" s="5"/>
      <c r="C13" s="6" t="s">
        <v>112</v>
      </c>
      <c r="D13" s="3" t="s">
        <v>113</v>
      </c>
    </row>
    <row r="14" spans="1:4" ht="15" customHeight="1" x14ac:dyDescent="0.35">
      <c r="A14" s="11"/>
      <c r="B14" s="5"/>
      <c r="C14" s="5"/>
      <c r="D14" s="5"/>
    </row>
    <row r="15" spans="1:4" ht="15" customHeight="1" x14ac:dyDescent="0.35">
      <c r="A15" s="11" t="s">
        <v>94</v>
      </c>
      <c r="B15" s="5"/>
      <c r="C15" s="6" t="s">
        <v>62</v>
      </c>
      <c r="D15" s="3" t="s">
        <v>679</v>
      </c>
    </row>
    <row r="16" spans="1:4" ht="15" customHeight="1" x14ac:dyDescent="0.35">
      <c r="A16" s="11" t="s">
        <v>95</v>
      </c>
      <c r="B16" s="5"/>
      <c r="C16" s="6" t="s">
        <v>63</v>
      </c>
      <c r="D16" s="3" t="s">
        <v>680</v>
      </c>
    </row>
    <row r="17" spans="1:4" ht="15" customHeight="1" x14ac:dyDescent="0.35">
      <c r="A17" s="11" t="s">
        <v>96</v>
      </c>
      <c r="B17" s="5"/>
      <c r="C17" s="6" t="s">
        <v>100</v>
      </c>
      <c r="D17" s="3" t="s">
        <v>681</v>
      </c>
    </row>
    <row r="18" spans="1:4" ht="15" customHeight="1" x14ac:dyDescent="0.35">
      <c r="A18" s="11" t="s">
        <v>97</v>
      </c>
      <c r="B18" s="5"/>
      <c r="C18" s="6" t="s">
        <v>101</v>
      </c>
      <c r="D18" s="3" t="s">
        <v>752</v>
      </c>
    </row>
    <row r="19" spans="1:4" ht="15" customHeight="1" x14ac:dyDescent="0.35">
      <c r="A19" s="11"/>
      <c r="B19" s="5"/>
      <c r="C19" s="5"/>
      <c r="D19" s="5"/>
    </row>
    <row r="20" spans="1:4" ht="15" customHeight="1" x14ac:dyDescent="0.35">
      <c r="A20" s="11" t="s">
        <v>98</v>
      </c>
      <c r="B20" s="5"/>
      <c r="C20" s="6" t="s">
        <v>66</v>
      </c>
      <c r="D20" s="3"/>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4"/>
    </row>
    <row r="26" spans="1:4" ht="15" customHeight="1" x14ac:dyDescent="0.35">
      <c r="A26" s="11" t="s">
        <v>80</v>
      </c>
      <c r="B26" s="5"/>
      <c r="C26" s="6" t="s">
        <v>68</v>
      </c>
      <c r="D26" s="4"/>
    </row>
    <row r="27" spans="1:4" ht="15" customHeight="1" x14ac:dyDescent="0.35">
      <c r="A27" s="11" t="s">
        <v>81</v>
      </c>
      <c r="B27" s="5"/>
      <c r="C27" s="6" t="s">
        <v>69</v>
      </c>
      <c r="D27" s="4"/>
    </row>
    <row r="28" spans="1:4" ht="15" customHeight="1" x14ac:dyDescent="0.35">
      <c r="A28" s="11" t="s">
        <v>82</v>
      </c>
      <c r="B28" s="5"/>
      <c r="C28" s="6" t="s">
        <v>103</v>
      </c>
      <c r="D28" s="4"/>
    </row>
    <row r="29" spans="1:4" ht="15" customHeight="1" x14ac:dyDescent="0.35">
      <c r="A29" s="11"/>
      <c r="B29" s="5"/>
      <c r="C29" s="5"/>
      <c r="D29" s="5"/>
    </row>
    <row r="30" spans="1:4" ht="15" customHeight="1" x14ac:dyDescent="0.35">
      <c r="A30" s="11" t="s">
        <v>83</v>
      </c>
      <c r="B30" s="5"/>
      <c r="C30" s="6" t="s">
        <v>185</v>
      </c>
      <c r="D30" s="3"/>
    </row>
    <row r="31" spans="1:4" ht="15" customHeight="1" x14ac:dyDescent="0.35">
      <c r="A31" s="11" t="s">
        <v>84</v>
      </c>
      <c r="B31" s="5"/>
      <c r="C31" s="6" t="s">
        <v>670</v>
      </c>
      <c r="D31" s="3"/>
    </row>
    <row r="32" spans="1:4" ht="15" customHeight="1" x14ac:dyDescent="0.35">
      <c r="A32" s="11" t="s">
        <v>85</v>
      </c>
      <c r="B32" s="5"/>
      <c r="C32" s="6" t="s">
        <v>671</v>
      </c>
      <c r="D32" s="4"/>
    </row>
    <row r="33" spans="1:4" ht="15" customHeight="1" x14ac:dyDescent="0.35">
      <c r="A33" s="11"/>
      <c r="B33" s="5"/>
      <c r="C33" s="5"/>
      <c r="D33" s="5"/>
    </row>
    <row r="34" spans="1:4" ht="15" customHeight="1" x14ac:dyDescent="0.35">
      <c r="A34" s="11" t="s">
        <v>86</v>
      </c>
      <c r="B34" s="5"/>
      <c r="C34" s="6" t="s">
        <v>71</v>
      </c>
      <c r="D34" s="3"/>
    </row>
    <row r="35" spans="1:4" ht="15" customHeight="1" x14ac:dyDescent="0.35">
      <c r="A35" s="11" t="s">
        <v>87</v>
      </c>
      <c r="B35" s="5"/>
      <c r="C35" s="6" t="s">
        <v>72</v>
      </c>
      <c r="D35" s="3"/>
    </row>
    <row r="36" spans="1:4" ht="15" customHeight="1" x14ac:dyDescent="0.35">
      <c r="A36" s="11" t="s">
        <v>88</v>
      </c>
      <c r="B36" s="5"/>
      <c r="C36" s="6" t="s">
        <v>73</v>
      </c>
      <c r="D36" s="4"/>
    </row>
    <row r="37" spans="1:4" ht="15" customHeight="1" x14ac:dyDescent="0.35">
      <c r="A37" s="11" t="s">
        <v>89</v>
      </c>
      <c r="B37" s="5"/>
      <c r="C37" s="6" t="s">
        <v>74</v>
      </c>
      <c r="D37" s="3"/>
    </row>
    <row r="38" spans="1:4" ht="15" customHeight="1" x14ac:dyDescent="0.35">
      <c r="A38" s="11" t="s">
        <v>90</v>
      </c>
      <c r="B38" s="5"/>
      <c r="C38" s="6" t="s">
        <v>75</v>
      </c>
      <c r="D38" s="3"/>
    </row>
    <row r="39" spans="1:4" ht="15" customHeight="1" x14ac:dyDescent="0.35">
      <c r="A39" s="11"/>
      <c r="B39" s="5"/>
      <c r="C39" s="5"/>
      <c r="D39" s="5"/>
    </row>
    <row r="40" spans="1:4" ht="20" x14ac:dyDescent="0.35">
      <c r="A40" s="11"/>
      <c r="B40" s="5"/>
      <c r="C40" s="34" t="s">
        <v>173</v>
      </c>
      <c r="D40" s="34"/>
    </row>
    <row r="41" spans="1:4" ht="15" customHeight="1" x14ac:dyDescent="0.35">
      <c r="A41" s="11"/>
      <c r="B41" s="5"/>
      <c r="C41" s="5"/>
      <c r="D41" s="5"/>
    </row>
    <row r="42" spans="1:4" ht="15" customHeight="1" x14ac:dyDescent="0.35">
      <c r="A42" s="11" t="s">
        <v>106</v>
      </c>
      <c r="B42" s="5"/>
      <c r="C42" s="6" t="s">
        <v>124</v>
      </c>
      <c r="D42" s="3" t="s">
        <v>682</v>
      </c>
    </row>
    <row r="43" spans="1:4" ht="15" customHeight="1" x14ac:dyDescent="0.35">
      <c r="A43" s="11" t="s">
        <v>107</v>
      </c>
      <c r="B43" s="5"/>
      <c r="C43" s="6" t="s">
        <v>126</v>
      </c>
      <c r="D43" s="4" t="s">
        <v>683</v>
      </c>
    </row>
    <row r="44" spans="1:4" ht="15" customHeight="1" x14ac:dyDescent="0.35">
      <c r="A44" s="11" t="s">
        <v>108</v>
      </c>
      <c r="B44" s="5"/>
      <c r="C44" s="6" t="s">
        <v>127</v>
      </c>
      <c r="D44" s="4" t="s">
        <v>321</v>
      </c>
    </row>
    <row r="45" spans="1:4" ht="15" customHeight="1" x14ac:dyDescent="0.35">
      <c r="A45" s="11" t="s">
        <v>109</v>
      </c>
      <c r="B45" s="5"/>
      <c r="C45" s="6" t="s">
        <v>128</v>
      </c>
      <c r="D45" s="4" t="s">
        <v>684</v>
      </c>
    </row>
    <row r="46" spans="1:4" ht="15" customHeight="1" x14ac:dyDescent="0.35">
      <c r="A46" s="11" t="s">
        <v>110</v>
      </c>
      <c r="B46" s="5"/>
      <c r="C46" s="6" t="s">
        <v>129</v>
      </c>
      <c r="D46" s="4" t="s">
        <v>319</v>
      </c>
    </row>
    <row r="47" spans="1:4" ht="15" customHeight="1" x14ac:dyDescent="0.35">
      <c r="A47" s="11" t="s">
        <v>111</v>
      </c>
      <c r="B47" s="5"/>
      <c r="C47" s="6" t="s">
        <v>130</v>
      </c>
      <c r="D47" s="4"/>
    </row>
    <row r="48" spans="1:4" ht="15" customHeight="1" x14ac:dyDescent="0.35">
      <c r="A48" s="11" t="s">
        <v>132</v>
      </c>
      <c r="B48" s="5"/>
      <c r="C48" s="6" t="s">
        <v>131</v>
      </c>
      <c r="D48" s="4"/>
    </row>
    <row r="49" spans="1:4" ht="15" customHeight="1" x14ac:dyDescent="0.35">
      <c r="A49" s="11"/>
      <c r="B49" s="5"/>
      <c r="C49" s="5"/>
      <c r="D49" s="5"/>
    </row>
    <row r="50" spans="1:4" ht="20" x14ac:dyDescent="0.35">
      <c r="A50" s="11"/>
      <c r="B50" s="5"/>
      <c r="C50" s="34" t="s">
        <v>174</v>
      </c>
      <c r="D50" s="34"/>
    </row>
    <row r="51" spans="1:4" ht="30" customHeight="1" x14ac:dyDescent="0.35">
      <c r="A51" s="11"/>
      <c r="B51" s="5"/>
      <c r="C51" s="35" t="s">
        <v>359</v>
      </c>
      <c r="D51" s="35"/>
    </row>
    <row r="52" spans="1:4" ht="15" customHeight="1" x14ac:dyDescent="0.35">
      <c r="A52" s="11"/>
      <c r="B52" s="5"/>
      <c r="C52" s="5"/>
      <c r="D52" s="5"/>
    </row>
    <row r="53" spans="1:4" ht="15" customHeight="1" x14ac:dyDescent="0.35">
      <c r="A53" s="11" t="s">
        <v>133</v>
      </c>
      <c r="B53" s="5"/>
      <c r="C53" s="6" t="s">
        <v>353</v>
      </c>
      <c r="D53" s="3" t="s">
        <v>56</v>
      </c>
    </row>
    <row r="54" spans="1:4" ht="15" customHeight="1" x14ac:dyDescent="0.35">
      <c r="A54" s="11" t="s">
        <v>134</v>
      </c>
      <c r="B54" s="5"/>
      <c r="C54" s="6" t="s">
        <v>355</v>
      </c>
      <c r="D54" s="4" t="s">
        <v>26</v>
      </c>
    </row>
    <row r="55" spans="1:4" ht="15" customHeight="1" x14ac:dyDescent="0.35">
      <c r="A55" s="11" t="s">
        <v>135</v>
      </c>
      <c r="B55" s="5"/>
      <c r="C55" s="6" t="s">
        <v>356</v>
      </c>
      <c r="D55" s="4" t="s">
        <v>29</v>
      </c>
    </row>
    <row r="56" spans="1:4" ht="15" customHeight="1" x14ac:dyDescent="0.35">
      <c r="A56" s="11" t="s">
        <v>136</v>
      </c>
      <c r="B56" s="5"/>
      <c r="C56" s="6" t="s">
        <v>474</v>
      </c>
      <c r="D56" s="4" t="s">
        <v>28</v>
      </c>
    </row>
    <row r="57" spans="1:4" ht="15" customHeight="1" x14ac:dyDescent="0.35">
      <c r="A57" s="11"/>
      <c r="B57" s="5"/>
      <c r="C57" s="5"/>
      <c r="D57" s="5"/>
    </row>
    <row r="58" spans="1:4" ht="15" customHeight="1" x14ac:dyDescent="0.35">
      <c r="A58" s="11" t="s">
        <v>137</v>
      </c>
      <c r="B58" s="5"/>
      <c r="C58" s="6" t="s">
        <v>354</v>
      </c>
      <c r="D58" s="3" t="s">
        <v>54</v>
      </c>
    </row>
    <row r="59" spans="1:4" ht="15" customHeight="1" x14ac:dyDescent="0.35">
      <c r="A59" s="11" t="s">
        <v>138</v>
      </c>
      <c r="B59" s="5"/>
      <c r="C59" s="6" t="s">
        <v>357</v>
      </c>
      <c r="D59" s="4" t="s">
        <v>18</v>
      </c>
    </row>
    <row r="60" spans="1:4" ht="15" customHeight="1" x14ac:dyDescent="0.35">
      <c r="A60" s="11" t="s">
        <v>472</v>
      </c>
      <c r="B60" s="5"/>
      <c r="C60" s="6" t="s">
        <v>358</v>
      </c>
      <c r="D60" s="4" t="s">
        <v>19</v>
      </c>
    </row>
    <row r="61" spans="1:4" ht="15" customHeight="1" x14ac:dyDescent="0.35">
      <c r="A61" s="11" t="s">
        <v>473</v>
      </c>
      <c r="C61" s="6" t="s">
        <v>475</v>
      </c>
      <c r="D61" s="4" t="s">
        <v>656</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8">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
      <formula1>INDIRECT(spec_secondaria)</formula1>
    </dataValidation>
    <dataValidation type="list" allowBlank="1" showInputMessage="1" showErrorMessage="1" sqref="D58">
      <formula1>Macroaree</formula1>
    </dataValidation>
    <dataValidation type="list" allowBlank="1" showInputMessage="1" showErrorMessage="1" sqref="D53">
      <formula1>Macroaree</formula1>
    </dataValidation>
    <dataValidation type="list" allowBlank="1" showInputMessage="1" showErrorMessage="1" sqref="D54:D56">
      <formula1>INDIRECT(spec_principale)</formula1>
    </dataValidation>
    <dataValidation type="list" allowBlank="1" showInputMessage="1" showErrorMessage="1" sqref="D61">
      <formula1>INDIRECT(spec_secondaria)</formula1>
    </dataValidation>
    <dataValidation type="list" allowBlank="1" showInputMessage="1" showErrorMessage="1" sqref="D60">
      <formula1>INDIRECT(spec_secondaria)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topLeftCell="A37" zoomScaleNormal="100" workbookViewId="0">
      <selection activeCell="I27" sqref="I27"/>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7" t="s">
        <v>208</v>
      </c>
      <c r="D6" s="37"/>
    </row>
    <row r="7" spans="1:4" ht="15" customHeight="1" x14ac:dyDescent="0.35">
      <c r="A7" s="11" t="s">
        <v>119</v>
      </c>
      <c r="B7" s="5"/>
      <c r="C7" s="6" t="s">
        <v>105</v>
      </c>
      <c r="D7" s="12" t="str">
        <f>candidatura</f>
        <v xml:space="preserve">Antonio Bologna; </v>
      </c>
    </row>
    <row r="8" spans="1:4" ht="15" customHeight="1" x14ac:dyDescent="0.35">
      <c r="A8" s="11"/>
      <c r="B8" s="5"/>
      <c r="C8" s="5"/>
      <c r="D8" s="5"/>
    </row>
    <row r="9" spans="1:4" ht="20" x14ac:dyDescent="0.35">
      <c r="A9" s="11"/>
      <c r="B9" s="5"/>
      <c r="C9" s="34" t="s">
        <v>175</v>
      </c>
      <c r="D9" s="34"/>
    </row>
    <row r="10" spans="1:4" ht="15" customHeight="1" x14ac:dyDescent="0.35">
      <c r="A10" s="11"/>
      <c r="B10" s="5"/>
      <c r="C10" s="5"/>
      <c r="D10" s="5"/>
    </row>
    <row r="11" spans="1:4" ht="15" customHeight="1" x14ac:dyDescent="0.35">
      <c r="A11" s="11" t="s">
        <v>142</v>
      </c>
      <c r="B11" s="5"/>
      <c r="C11" s="6" t="s">
        <v>426</v>
      </c>
      <c r="D11" s="3" t="s">
        <v>140</v>
      </c>
    </row>
    <row r="12" spans="1:4" ht="15" customHeight="1" x14ac:dyDescent="0.35">
      <c r="A12" s="11" t="s">
        <v>147</v>
      </c>
      <c r="B12" s="5"/>
      <c r="C12" s="6" t="s">
        <v>427</v>
      </c>
      <c r="D12" s="3" t="s">
        <v>685</v>
      </c>
    </row>
    <row r="13" spans="1:4" ht="15" customHeight="1" x14ac:dyDescent="0.35">
      <c r="A13" s="11" t="s">
        <v>148</v>
      </c>
      <c r="B13" s="5"/>
      <c r="C13" s="6" t="s">
        <v>143</v>
      </c>
      <c r="D13" s="3" t="s">
        <v>686</v>
      </c>
    </row>
    <row r="14" spans="1:4" ht="15" customHeight="1" x14ac:dyDescent="0.35">
      <c r="A14" s="11" t="s">
        <v>149</v>
      </c>
      <c r="B14" s="5"/>
      <c r="C14" s="6" t="s">
        <v>144</v>
      </c>
      <c r="D14" s="3" t="s">
        <v>687</v>
      </c>
    </row>
    <row r="15" spans="1:4" ht="45" customHeight="1" x14ac:dyDescent="0.35">
      <c r="A15" s="16" t="s">
        <v>150</v>
      </c>
      <c r="B15" s="5"/>
      <c r="C15" s="18" t="s">
        <v>145</v>
      </c>
      <c r="D15" s="14" t="s">
        <v>689</v>
      </c>
    </row>
    <row r="16" spans="1:4" ht="15" customHeight="1" x14ac:dyDescent="0.35">
      <c r="A16" s="11" t="s">
        <v>151</v>
      </c>
      <c r="B16" s="5"/>
      <c r="C16" s="6" t="s">
        <v>146</v>
      </c>
      <c r="D16" s="3" t="s">
        <v>688</v>
      </c>
    </row>
    <row r="17" spans="1:4" ht="15" customHeight="1" x14ac:dyDescent="0.35">
      <c r="A17" s="11"/>
      <c r="B17" s="5"/>
      <c r="C17" s="29" t="s">
        <v>183</v>
      </c>
      <c r="D17" s="5"/>
    </row>
    <row r="18" spans="1:4" ht="15" customHeight="1" x14ac:dyDescent="0.35">
      <c r="A18" s="11" t="s">
        <v>152</v>
      </c>
      <c r="B18" s="5"/>
      <c r="C18" s="6" t="s">
        <v>500</v>
      </c>
      <c r="D18" s="4"/>
    </row>
    <row r="19" spans="1:4" ht="15" customHeight="1" x14ac:dyDescent="0.35">
      <c r="A19" s="11" t="s">
        <v>153</v>
      </c>
      <c r="B19" s="5"/>
      <c r="C19" s="6" t="s">
        <v>143</v>
      </c>
      <c r="D19" s="4"/>
    </row>
    <row r="20" spans="1:4" ht="15" customHeight="1" x14ac:dyDescent="0.35">
      <c r="A20" s="11" t="s">
        <v>154</v>
      </c>
      <c r="B20" s="5"/>
      <c r="C20" s="6" t="s">
        <v>144</v>
      </c>
      <c r="D20" s="4"/>
    </row>
    <row r="21" spans="1:4" ht="45" customHeight="1" x14ac:dyDescent="0.35">
      <c r="A21" s="16" t="s">
        <v>155</v>
      </c>
      <c r="B21" s="5"/>
      <c r="C21" s="18" t="s">
        <v>145</v>
      </c>
      <c r="D21" s="15"/>
    </row>
    <row r="22" spans="1:4" ht="15" customHeight="1" x14ac:dyDescent="0.35">
      <c r="A22" s="11"/>
      <c r="B22" s="5"/>
      <c r="C22" s="5"/>
      <c r="D22" s="5"/>
    </row>
    <row r="23" spans="1:4" ht="15" customHeight="1" x14ac:dyDescent="0.35">
      <c r="A23" s="11" t="s">
        <v>156</v>
      </c>
      <c r="B23" s="5"/>
      <c r="C23" s="6" t="s">
        <v>426</v>
      </c>
      <c r="D23" s="4" t="s">
        <v>140</v>
      </c>
    </row>
    <row r="24" spans="1:4" ht="15" customHeight="1" x14ac:dyDescent="0.35">
      <c r="A24" s="11" t="s">
        <v>157</v>
      </c>
      <c r="B24" s="5"/>
      <c r="C24" s="6" t="s">
        <v>428</v>
      </c>
      <c r="D24" s="4" t="s">
        <v>726</v>
      </c>
    </row>
    <row r="25" spans="1:4" ht="15" customHeight="1" x14ac:dyDescent="0.35">
      <c r="A25" s="11" t="s">
        <v>158</v>
      </c>
      <c r="B25" s="5"/>
      <c r="C25" s="6" t="s">
        <v>143</v>
      </c>
      <c r="D25" s="4" t="s">
        <v>727</v>
      </c>
    </row>
    <row r="26" spans="1:4" ht="15" customHeight="1" x14ac:dyDescent="0.35">
      <c r="A26" s="11" t="s">
        <v>159</v>
      </c>
      <c r="B26" s="5"/>
      <c r="C26" s="6" t="s">
        <v>144</v>
      </c>
      <c r="D26" s="4" t="s">
        <v>725</v>
      </c>
    </row>
    <row r="27" spans="1:4" ht="45" customHeight="1" x14ac:dyDescent="0.35">
      <c r="A27" s="16" t="s">
        <v>160</v>
      </c>
      <c r="B27" s="5"/>
      <c r="C27" s="18" t="s">
        <v>145</v>
      </c>
      <c r="D27" s="15"/>
    </row>
    <row r="28" spans="1:4" ht="15" customHeight="1" x14ac:dyDescent="0.35">
      <c r="A28" s="11" t="s">
        <v>161</v>
      </c>
      <c r="B28" s="5"/>
      <c r="C28" s="6" t="s">
        <v>146</v>
      </c>
      <c r="D28" s="4" t="s">
        <v>728</v>
      </c>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34" t="s">
        <v>176</v>
      </c>
      <c r="D35" s="34"/>
    </row>
    <row r="36" spans="1:4" ht="15" customHeight="1" x14ac:dyDescent="0.35">
      <c r="A36" s="11"/>
      <c r="B36" s="5"/>
      <c r="C36" s="5"/>
      <c r="D36" s="5"/>
    </row>
    <row r="37" spans="1:4" ht="15" customHeight="1" x14ac:dyDescent="0.35">
      <c r="A37" s="11" t="s">
        <v>167</v>
      </c>
      <c r="B37" s="5"/>
      <c r="C37" s="6" t="s">
        <v>360</v>
      </c>
      <c r="D37" s="4"/>
    </row>
    <row r="38" spans="1:4" ht="15" customHeight="1" x14ac:dyDescent="0.35">
      <c r="A38" s="11" t="s">
        <v>168</v>
      </c>
      <c r="B38" s="5"/>
      <c r="C38" s="6" t="s">
        <v>166</v>
      </c>
      <c r="D38" s="4"/>
    </row>
    <row r="39" spans="1:4" ht="15" customHeight="1" x14ac:dyDescent="0.35">
      <c r="A39" s="11" t="s">
        <v>169</v>
      </c>
      <c r="B39" s="5"/>
      <c r="C39" s="6" t="s">
        <v>144</v>
      </c>
      <c r="D39" s="4"/>
    </row>
    <row r="40" spans="1:4" ht="45" customHeight="1" x14ac:dyDescent="0.35">
      <c r="A40" s="16" t="s">
        <v>170</v>
      </c>
      <c r="B40" s="5"/>
      <c r="C40" s="18" t="s">
        <v>145</v>
      </c>
      <c r="D40" s="15"/>
    </row>
    <row r="41" spans="1:4" ht="15" customHeight="1" x14ac:dyDescent="0.35">
      <c r="A41" s="11" t="s">
        <v>171</v>
      </c>
      <c r="B41" s="5"/>
      <c r="C41" s="6" t="s">
        <v>146</v>
      </c>
      <c r="D41" s="4"/>
    </row>
    <row r="42" spans="1:4" ht="15" customHeight="1" x14ac:dyDescent="0.35">
      <c r="A42" s="11"/>
      <c r="B42" s="5"/>
      <c r="C42" s="5"/>
      <c r="D42" s="5"/>
    </row>
    <row r="43" spans="1:4" ht="20" x14ac:dyDescent="0.35">
      <c r="A43" s="11"/>
      <c r="B43" s="5"/>
      <c r="C43" s="34" t="s">
        <v>177</v>
      </c>
      <c r="D43" s="34"/>
    </row>
    <row r="44" spans="1:4" ht="15" customHeight="1" x14ac:dyDescent="0.35">
      <c r="A44" s="11"/>
      <c r="B44" s="5"/>
      <c r="C44" s="5"/>
      <c r="D44" s="5"/>
    </row>
    <row r="45" spans="1:4" ht="15" customHeight="1" x14ac:dyDescent="0.35">
      <c r="A45" s="11" t="s">
        <v>178</v>
      </c>
      <c r="B45" s="5"/>
      <c r="C45" s="6" t="s">
        <v>361</v>
      </c>
      <c r="D45" s="4"/>
    </row>
    <row r="46" spans="1:4" ht="15" customHeight="1" x14ac:dyDescent="0.35">
      <c r="A46" s="11" t="s">
        <v>179</v>
      </c>
      <c r="B46" s="5"/>
      <c r="C46" s="6" t="s">
        <v>166</v>
      </c>
      <c r="D46" s="4"/>
    </row>
    <row r="47" spans="1:4" ht="15" customHeight="1" x14ac:dyDescent="0.35">
      <c r="A47" s="11" t="s">
        <v>180</v>
      </c>
      <c r="B47" s="5"/>
      <c r="C47" s="6" t="s">
        <v>144</v>
      </c>
      <c r="D47" s="4"/>
    </row>
    <row r="48" spans="1:4" ht="45" customHeight="1" x14ac:dyDescent="0.35">
      <c r="A48" s="16" t="s">
        <v>181</v>
      </c>
      <c r="B48" s="5"/>
      <c r="C48" s="18" t="s">
        <v>145</v>
      </c>
      <c r="D48" s="15"/>
    </row>
    <row r="49" spans="1:4" ht="15" customHeight="1" x14ac:dyDescent="0.35">
      <c r="A49" s="11" t="s">
        <v>182</v>
      </c>
      <c r="B49" s="5"/>
      <c r="C49" s="6" t="s">
        <v>146</v>
      </c>
      <c r="D49" s="4"/>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topLeftCell="A64" zoomScaleNormal="100" workbookViewId="0">
      <selection activeCell="D89" sqref="D89"/>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7" t="s">
        <v>209</v>
      </c>
      <c r="D6" s="37"/>
    </row>
    <row r="7" spans="1:4" ht="15" customHeight="1" x14ac:dyDescent="0.35">
      <c r="A7" s="11" t="s">
        <v>120</v>
      </c>
      <c r="B7" s="5"/>
      <c r="C7" s="6" t="s">
        <v>105</v>
      </c>
      <c r="D7" s="12" t="str">
        <f>candidatura</f>
        <v xml:space="preserve">Antonio Bologna; </v>
      </c>
    </row>
    <row r="8" spans="1:4" ht="15" customHeight="1" x14ac:dyDescent="0.35">
      <c r="A8" s="11"/>
      <c r="B8" s="5"/>
      <c r="C8" s="5"/>
      <c r="D8" s="5"/>
    </row>
    <row r="9" spans="1:4" ht="20" x14ac:dyDescent="0.35">
      <c r="A9" s="11"/>
      <c r="B9" s="5"/>
      <c r="C9" s="34" t="s">
        <v>660</v>
      </c>
      <c r="D9" s="34"/>
    </row>
    <row r="10" spans="1:4" ht="60" customHeight="1" x14ac:dyDescent="0.35">
      <c r="A10" s="11"/>
      <c r="B10" s="5"/>
      <c r="C10" s="38" t="s">
        <v>362</v>
      </c>
      <c r="D10" s="38"/>
    </row>
    <row r="11" spans="1:4" ht="15" customHeight="1" x14ac:dyDescent="0.35">
      <c r="A11" s="11"/>
      <c r="B11" s="5"/>
      <c r="C11" s="5"/>
      <c r="D11" s="5"/>
    </row>
    <row r="12" spans="1:4" ht="15" customHeight="1" x14ac:dyDescent="0.35">
      <c r="A12" s="11" t="s">
        <v>188</v>
      </c>
      <c r="B12" s="5"/>
      <c r="C12" s="6" t="s">
        <v>491</v>
      </c>
      <c r="D12" s="31">
        <v>34700</v>
      </c>
    </row>
    <row r="13" spans="1:4" ht="15" customHeight="1" x14ac:dyDescent="0.35">
      <c r="A13" s="11" t="s">
        <v>189</v>
      </c>
      <c r="B13" s="5"/>
      <c r="C13" s="6" t="s">
        <v>492</v>
      </c>
      <c r="D13" s="31" t="s">
        <v>697</v>
      </c>
    </row>
    <row r="14" spans="1:4" ht="15" customHeight="1" x14ac:dyDescent="0.35">
      <c r="A14" s="11" t="s">
        <v>190</v>
      </c>
      <c r="B14" s="5"/>
      <c r="C14" s="6" t="s">
        <v>377</v>
      </c>
      <c r="D14" s="3" t="s">
        <v>693</v>
      </c>
    </row>
    <row r="15" spans="1:4" ht="15" customHeight="1" x14ac:dyDescent="0.35">
      <c r="A15" s="11" t="s">
        <v>191</v>
      </c>
      <c r="B15" s="5"/>
      <c r="C15" s="6" t="s">
        <v>376</v>
      </c>
      <c r="D15" s="3" t="s">
        <v>692</v>
      </c>
    </row>
    <row r="16" spans="1:4" ht="15" customHeight="1" x14ac:dyDescent="0.35">
      <c r="A16" s="11" t="s">
        <v>192</v>
      </c>
      <c r="B16" s="5"/>
      <c r="C16" s="6" t="s">
        <v>558</v>
      </c>
      <c r="D16" s="3" t="s">
        <v>691</v>
      </c>
    </row>
    <row r="17" spans="1:4" ht="15" customHeight="1" x14ac:dyDescent="0.35">
      <c r="A17" s="11" t="s">
        <v>193</v>
      </c>
      <c r="B17" s="5"/>
      <c r="C17" s="6" t="s">
        <v>198</v>
      </c>
      <c r="D17" s="3" t="s">
        <v>199</v>
      </c>
    </row>
    <row r="18" spans="1:4" ht="15" customHeight="1" x14ac:dyDescent="0.35">
      <c r="A18" s="11" t="s">
        <v>194</v>
      </c>
      <c r="B18" s="5"/>
      <c r="C18" s="6" t="s">
        <v>186</v>
      </c>
      <c r="D18" s="3" t="s">
        <v>703</v>
      </c>
    </row>
    <row r="19" spans="1:4" ht="15" customHeight="1" x14ac:dyDescent="0.35">
      <c r="A19" s="11" t="s">
        <v>195</v>
      </c>
      <c r="B19" s="5"/>
      <c r="C19" s="6" t="s">
        <v>484</v>
      </c>
      <c r="D19" s="3" t="s">
        <v>486</v>
      </c>
    </row>
    <row r="20" spans="1:4" ht="15" customHeight="1" x14ac:dyDescent="0.35">
      <c r="A20" s="11" t="s">
        <v>196</v>
      </c>
      <c r="B20" s="5"/>
      <c r="C20" s="6" t="s">
        <v>488</v>
      </c>
      <c r="D20" s="3" t="s">
        <v>490</v>
      </c>
    </row>
    <row r="21" spans="1:4" s="28" customFormat="1" ht="75" customHeight="1" x14ac:dyDescent="0.35">
      <c r="A21" s="16" t="s">
        <v>211</v>
      </c>
      <c r="B21" s="17"/>
      <c r="C21" s="18" t="s">
        <v>197</v>
      </c>
      <c r="D21" s="14" t="s">
        <v>690</v>
      </c>
    </row>
    <row r="22" spans="1:4" s="28" customFormat="1" ht="45" customHeight="1" x14ac:dyDescent="0.35">
      <c r="A22" s="16" t="s">
        <v>212</v>
      </c>
      <c r="B22" s="17"/>
      <c r="C22" s="18" t="s">
        <v>187</v>
      </c>
      <c r="D22" s="14" t="s">
        <v>714</v>
      </c>
    </row>
    <row r="24" spans="1:4" ht="15" customHeight="1" x14ac:dyDescent="0.35">
      <c r="A24" s="11" t="s">
        <v>213</v>
      </c>
      <c r="B24" s="5"/>
      <c r="C24" s="6" t="s">
        <v>491</v>
      </c>
      <c r="D24" s="30">
        <v>36100</v>
      </c>
    </row>
    <row r="25" spans="1:4" ht="15" customHeight="1" x14ac:dyDescent="0.35">
      <c r="A25" s="11" t="s">
        <v>214</v>
      </c>
      <c r="B25" s="5"/>
      <c r="C25" s="6" t="s">
        <v>492</v>
      </c>
      <c r="D25" s="30" t="s">
        <v>697</v>
      </c>
    </row>
    <row r="26" spans="1:4" ht="15" customHeight="1" x14ac:dyDescent="0.35">
      <c r="A26" s="11" t="s">
        <v>215</v>
      </c>
      <c r="B26" s="5"/>
      <c r="C26" s="6" t="s">
        <v>378</v>
      </c>
      <c r="D26" s="4" t="s">
        <v>694</v>
      </c>
    </row>
    <row r="27" spans="1:4" ht="15" customHeight="1" x14ac:dyDescent="0.35">
      <c r="A27" s="11" t="s">
        <v>216</v>
      </c>
      <c r="B27" s="5"/>
      <c r="C27" s="6" t="s">
        <v>376</v>
      </c>
      <c r="D27" s="4" t="s">
        <v>680</v>
      </c>
    </row>
    <row r="28" spans="1:4" ht="15" customHeight="1" x14ac:dyDescent="0.35">
      <c r="A28" s="11" t="s">
        <v>217</v>
      </c>
      <c r="B28" s="5"/>
      <c r="C28" s="6" t="s">
        <v>558</v>
      </c>
      <c r="D28" s="4" t="s">
        <v>691</v>
      </c>
    </row>
    <row r="29" spans="1:4" ht="15" customHeight="1" x14ac:dyDescent="0.35">
      <c r="A29" s="11" t="s">
        <v>218</v>
      </c>
      <c r="B29" s="5"/>
      <c r="C29" s="6" t="s">
        <v>198</v>
      </c>
      <c r="D29" s="4" t="s">
        <v>199</v>
      </c>
    </row>
    <row r="30" spans="1:4" ht="15" customHeight="1" x14ac:dyDescent="0.35">
      <c r="A30" s="11" t="s">
        <v>219</v>
      </c>
      <c r="B30" s="5"/>
      <c r="C30" s="6" t="s">
        <v>186</v>
      </c>
      <c r="D30" s="4" t="s">
        <v>710</v>
      </c>
    </row>
    <row r="31" spans="1:4" ht="15" customHeight="1" x14ac:dyDescent="0.35">
      <c r="A31" s="11" t="s">
        <v>220</v>
      </c>
      <c r="B31" s="5"/>
      <c r="C31" s="6" t="s">
        <v>484</v>
      </c>
      <c r="D31" s="4" t="s">
        <v>486</v>
      </c>
    </row>
    <row r="32" spans="1:4" ht="15" customHeight="1" x14ac:dyDescent="0.35">
      <c r="A32" s="11" t="s">
        <v>221</v>
      </c>
      <c r="B32" s="5"/>
      <c r="C32" s="6" t="s">
        <v>488</v>
      </c>
      <c r="D32" s="4" t="s">
        <v>490</v>
      </c>
    </row>
    <row r="33" spans="1:4" s="28" customFormat="1" ht="75" customHeight="1" x14ac:dyDescent="0.35">
      <c r="A33" s="16" t="s">
        <v>222</v>
      </c>
      <c r="B33" s="17"/>
      <c r="C33" s="18" t="s">
        <v>197</v>
      </c>
      <c r="D33" s="15" t="s">
        <v>711</v>
      </c>
    </row>
    <row r="34" spans="1:4" s="28" customFormat="1" ht="45" customHeight="1" x14ac:dyDescent="0.35">
      <c r="A34" s="16" t="s">
        <v>223</v>
      </c>
      <c r="B34" s="17"/>
      <c r="C34" s="18" t="s">
        <v>187</v>
      </c>
      <c r="D34" s="15" t="s">
        <v>695</v>
      </c>
    </row>
    <row r="36" spans="1:4" ht="15" customHeight="1" x14ac:dyDescent="0.35">
      <c r="A36" s="11" t="s">
        <v>224</v>
      </c>
      <c r="B36" s="5"/>
      <c r="C36" s="6" t="s">
        <v>491</v>
      </c>
      <c r="D36" s="32" t="s">
        <v>715</v>
      </c>
    </row>
    <row r="37" spans="1:4" ht="15" customHeight="1" x14ac:dyDescent="0.35">
      <c r="A37" s="11" t="s">
        <v>225</v>
      </c>
      <c r="B37" s="5"/>
      <c r="C37" s="6" t="s">
        <v>492</v>
      </c>
      <c r="D37" s="32" t="s">
        <v>716</v>
      </c>
    </row>
    <row r="38" spans="1:4" ht="15" customHeight="1" x14ac:dyDescent="0.35">
      <c r="A38" s="11" t="s">
        <v>226</v>
      </c>
      <c r="B38" s="5"/>
      <c r="C38" s="6" t="s">
        <v>379</v>
      </c>
      <c r="D38" s="4" t="s">
        <v>696</v>
      </c>
    </row>
    <row r="39" spans="1:4" ht="15" customHeight="1" x14ac:dyDescent="0.35">
      <c r="A39" s="11" t="s">
        <v>227</v>
      </c>
      <c r="B39" s="5"/>
      <c r="C39" s="6" t="s">
        <v>376</v>
      </c>
      <c r="D39" s="4" t="s">
        <v>717</v>
      </c>
    </row>
    <row r="40" spans="1:4" ht="15" customHeight="1" x14ac:dyDescent="0.35">
      <c r="A40" s="11" t="s">
        <v>228</v>
      </c>
      <c r="B40" s="5"/>
      <c r="C40" s="6" t="s">
        <v>558</v>
      </c>
      <c r="D40" s="4" t="s">
        <v>717</v>
      </c>
    </row>
    <row r="41" spans="1:4" ht="15" customHeight="1" x14ac:dyDescent="0.35">
      <c r="A41" s="11" t="s">
        <v>229</v>
      </c>
      <c r="B41" s="5"/>
      <c r="C41" s="6" t="s">
        <v>198</v>
      </c>
      <c r="D41" s="4" t="s">
        <v>200</v>
      </c>
    </row>
    <row r="42" spans="1:4" ht="15" customHeight="1" x14ac:dyDescent="0.35">
      <c r="A42" s="11" t="s">
        <v>230</v>
      </c>
      <c r="B42" s="5"/>
      <c r="C42" s="6" t="s">
        <v>186</v>
      </c>
      <c r="D42" s="33" t="s">
        <v>712</v>
      </c>
    </row>
    <row r="43" spans="1:4" ht="15" customHeight="1" x14ac:dyDescent="0.35">
      <c r="A43" s="11" t="s">
        <v>231</v>
      </c>
      <c r="B43" s="5"/>
      <c r="C43" s="6" t="s">
        <v>484</v>
      </c>
      <c r="D43" s="4" t="s">
        <v>487</v>
      </c>
    </row>
    <row r="44" spans="1:4" ht="15" customHeight="1" x14ac:dyDescent="0.35">
      <c r="A44" s="11" t="s">
        <v>232</v>
      </c>
      <c r="B44" s="5"/>
      <c r="C44" s="6" t="s">
        <v>488</v>
      </c>
      <c r="D44" s="4" t="s">
        <v>490</v>
      </c>
    </row>
    <row r="45" spans="1:4" s="28" customFormat="1" ht="75" customHeight="1" x14ac:dyDescent="0.35">
      <c r="A45" s="16" t="s">
        <v>233</v>
      </c>
      <c r="B45" s="17"/>
      <c r="C45" s="18" t="s">
        <v>197</v>
      </c>
      <c r="D45" s="15" t="s">
        <v>724</v>
      </c>
    </row>
    <row r="46" spans="1:4" s="28" customFormat="1" ht="45" customHeight="1" x14ac:dyDescent="0.35">
      <c r="A46" s="16" t="s">
        <v>234</v>
      </c>
      <c r="B46" s="17"/>
      <c r="C46" s="18" t="s">
        <v>187</v>
      </c>
      <c r="D46" s="15" t="s">
        <v>723</v>
      </c>
    </row>
    <row r="48" spans="1:4" ht="15" customHeight="1" x14ac:dyDescent="0.35">
      <c r="A48" s="11" t="s">
        <v>235</v>
      </c>
      <c r="B48" s="5"/>
      <c r="C48" s="6" t="s">
        <v>491</v>
      </c>
      <c r="D48" s="32" t="s">
        <v>701</v>
      </c>
    </row>
    <row r="49" spans="1:4" ht="15" customHeight="1" x14ac:dyDescent="0.35">
      <c r="A49" s="11" t="s">
        <v>236</v>
      </c>
      <c r="B49" s="5"/>
      <c r="C49" s="6" t="s">
        <v>492</v>
      </c>
      <c r="D49" s="32" t="s">
        <v>702</v>
      </c>
    </row>
    <row r="50" spans="1:4" ht="15" customHeight="1" x14ac:dyDescent="0.35">
      <c r="A50" s="11" t="s">
        <v>237</v>
      </c>
      <c r="B50" s="5"/>
      <c r="C50" s="6" t="s">
        <v>380</v>
      </c>
      <c r="D50" s="4" t="s">
        <v>720</v>
      </c>
    </row>
    <row r="51" spans="1:4" ht="15" customHeight="1" x14ac:dyDescent="0.35">
      <c r="A51" s="11" t="s">
        <v>238</v>
      </c>
      <c r="B51" s="5"/>
      <c r="C51" s="6" t="s">
        <v>376</v>
      </c>
      <c r="D51" s="4" t="s">
        <v>698</v>
      </c>
    </row>
    <row r="52" spans="1:4" ht="15" customHeight="1" x14ac:dyDescent="0.35">
      <c r="A52" s="11" t="s">
        <v>239</v>
      </c>
      <c r="B52" s="5"/>
      <c r="C52" s="6" t="s">
        <v>558</v>
      </c>
      <c r="D52" s="4" t="s">
        <v>699</v>
      </c>
    </row>
    <row r="53" spans="1:4" ht="15" customHeight="1" x14ac:dyDescent="0.35">
      <c r="A53" s="11" t="s">
        <v>240</v>
      </c>
      <c r="B53" s="5"/>
      <c r="C53" s="6" t="s">
        <v>198</v>
      </c>
      <c r="D53" s="4" t="s">
        <v>206</v>
      </c>
    </row>
    <row r="54" spans="1:4" ht="15" customHeight="1" x14ac:dyDescent="0.35">
      <c r="A54" s="11" t="s">
        <v>241</v>
      </c>
      <c r="B54" s="5"/>
      <c r="C54" s="6" t="s">
        <v>186</v>
      </c>
      <c r="D54" s="4" t="s">
        <v>719</v>
      </c>
    </row>
    <row r="55" spans="1:4" ht="15" customHeight="1" x14ac:dyDescent="0.35">
      <c r="A55" s="11" t="s">
        <v>242</v>
      </c>
      <c r="B55" s="5"/>
      <c r="C55" s="6" t="s">
        <v>484</v>
      </c>
      <c r="D55" s="4" t="s">
        <v>487</v>
      </c>
    </row>
    <row r="56" spans="1:4" ht="15" customHeight="1" x14ac:dyDescent="0.35">
      <c r="A56" s="11" t="s">
        <v>243</v>
      </c>
      <c r="B56" s="5"/>
      <c r="C56" s="6" t="s">
        <v>488</v>
      </c>
      <c r="D56" s="4" t="s">
        <v>354</v>
      </c>
    </row>
    <row r="57" spans="1:4" s="28" customFormat="1" ht="75" customHeight="1" x14ac:dyDescent="0.35">
      <c r="A57" s="16" t="s">
        <v>244</v>
      </c>
      <c r="B57" s="17"/>
      <c r="C57" s="18" t="s">
        <v>197</v>
      </c>
      <c r="D57" s="15" t="s">
        <v>709</v>
      </c>
    </row>
    <row r="58" spans="1:4" s="28" customFormat="1" ht="45" customHeight="1" x14ac:dyDescent="0.35">
      <c r="A58" s="16" t="s">
        <v>245</v>
      </c>
      <c r="B58" s="17"/>
      <c r="C58" s="18" t="s">
        <v>187</v>
      </c>
      <c r="D58" s="15" t="s">
        <v>700</v>
      </c>
    </row>
    <row r="60" spans="1:4" ht="15" customHeight="1" x14ac:dyDescent="0.35">
      <c r="A60" s="11" t="s">
        <v>246</v>
      </c>
      <c r="B60" s="5"/>
      <c r="C60" s="6" t="s">
        <v>491</v>
      </c>
      <c r="D60" s="32" t="s">
        <v>706</v>
      </c>
    </row>
    <row r="61" spans="1:4" ht="15" customHeight="1" x14ac:dyDescent="0.35">
      <c r="A61" s="11" t="s">
        <v>247</v>
      </c>
      <c r="B61" s="5"/>
      <c r="C61" s="6" t="s">
        <v>492</v>
      </c>
      <c r="D61" s="32" t="s">
        <v>707</v>
      </c>
    </row>
    <row r="62" spans="1:4" ht="15" customHeight="1" x14ac:dyDescent="0.35">
      <c r="A62" s="11" t="s">
        <v>248</v>
      </c>
      <c r="B62" s="5"/>
      <c r="C62" s="6" t="s">
        <v>381</v>
      </c>
      <c r="D62" s="4" t="s">
        <v>708</v>
      </c>
    </row>
    <row r="63" spans="1:4" ht="15" customHeight="1" x14ac:dyDescent="0.35">
      <c r="A63" s="11" t="s">
        <v>249</v>
      </c>
      <c r="B63" s="5"/>
      <c r="C63" s="6" t="s">
        <v>376</v>
      </c>
      <c r="D63" s="4" t="s">
        <v>692</v>
      </c>
    </row>
    <row r="64" spans="1:4" ht="15" customHeight="1" x14ac:dyDescent="0.35">
      <c r="A64" s="11" t="s">
        <v>250</v>
      </c>
      <c r="B64" s="5"/>
      <c r="C64" s="6" t="s">
        <v>558</v>
      </c>
      <c r="D64" s="4" t="s">
        <v>691</v>
      </c>
    </row>
    <row r="65" spans="1:4" ht="15" customHeight="1" x14ac:dyDescent="0.35">
      <c r="A65" s="11" t="s">
        <v>251</v>
      </c>
      <c r="B65" s="5"/>
      <c r="C65" s="6" t="s">
        <v>198</v>
      </c>
      <c r="D65" s="4" t="s">
        <v>199</v>
      </c>
    </row>
    <row r="66" spans="1:4" ht="15" customHeight="1" x14ac:dyDescent="0.35">
      <c r="A66" s="11" t="s">
        <v>252</v>
      </c>
      <c r="B66" s="5"/>
      <c r="C66" s="6" t="s">
        <v>186</v>
      </c>
      <c r="D66" s="4" t="s">
        <v>713</v>
      </c>
    </row>
    <row r="67" spans="1:4" ht="15" customHeight="1" x14ac:dyDescent="0.35">
      <c r="A67" s="11" t="s">
        <v>253</v>
      </c>
      <c r="B67" s="5"/>
      <c r="C67" s="6" t="s">
        <v>484</v>
      </c>
      <c r="D67" s="4" t="s">
        <v>486</v>
      </c>
    </row>
    <row r="68" spans="1:4" ht="15" customHeight="1" x14ac:dyDescent="0.35">
      <c r="A68" s="11" t="s">
        <v>254</v>
      </c>
      <c r="B68" s="5"/>
      <c r="C68" s="6" t="s">
        <v>488</v>
      </c>
      <c r="D68" s="4" t="s">
        <v>490</v>
      </c>
    </row>
    <row r="69" spans="1:4" s="28" customFormat="1" ht="75" customHeight="1" x14ac:dyDescent="0.35">
      <c r="A69" s="16" t="s">
        <v>255</v>
      </c>
      <c r="B69" s="17"/>
      <c r="C69" s="18" t="s">
        <v>197</v>
      </c>
      <c r="D69" s="15" t="s">
        <v>718</v>
      </c>
    </row>
    <row r="70" spans="1:4" s="28" customFormat="1" ht="45" customHeight="1" x14ac:dyDescent="0.35">
      <c r="A70" s="16" t="s">
        <v>256</v>
      </c>
      <c r="B70" s="17"/>
      <c r="C70" s="18" t="s">
        <v>187</v>
      </c>
      <c r="D70" s="15" t="s">
        <v>729</v>
      </c>
    </row>
    <row r="72" spans="1:4" ht="15" customHeight="1" x14ac:dyDescent="0.35">
      <c r="A72" s="11" t="s">
        <v>257</v>
      </c>
      <c r="B72" s="5"/>
      <c r="C72" s="6" t="s">
        <v>491</v>
      </c>
      <c r="D72" s="32" t="s">
        <v>704</v>
      </c>
    </row>
    <row r="73" spans="1:4" ht="15" customHeight="1" x14ac:dyDescent="0.35">
      <c r="A73" s="11" t="s">
        <v>258</v>
      </c>
      <c r="B73" s="5"/>
      <c r="C73" s="6" t="s">
        <v>492</v>
      </c>
      <c r="D73" s="32" t="s">
        <v>697</v>
      </c>
    </row>
    <row r="74" spans="1:4" ht="15" customHeight="1" x14ac:dyDescent="0.35">
      <c r="A74" s="11" t="s">
        <v>259</v>
      </c>
      <c r="B74" s="5"/>
      <c r="C74" s="6" t="s">
        <v>382</v>
      </c>
      <c r="D74" s="4" t="s">
        <v>705</v>
      </c>
    </row>
    <row r="75" spans="1:4" ht="15" customHeight="1" x14ac:dyDescent="0.35">
      <c r="A75" s="11" t="s">
        <v>260</v>
      </c>
      <c r="B75" s="5"/>
      <c r="C75" s="6" t="s">
        <v>376</v>
      </c>
      <c r="D75" s="4" t="s">
        <v>692</v>
      </c>
    </row>
    <row r="76" spans="1:4" ht="15" customHeight="1" x14ac:dyDescent="0.35">
      <c r="A76" s="11" t="s">
        <v>261</v>
      </c>
      <c r="B76" s="5"/>
      <c r="C76" s="6" t="s">
        <v>558</v>
      </c>
      <c r="D76" s="4" t="s">
        <v>691</v>
      </c>
    </row>
    <row r="77" spans="1:4" ht="15" customHeight="1" x14ac:dyDescent="0.35">
      <c r="A77" s="11" t="s">
        <v>262</v>
      </c>
      <c r="B77" s="5"/>
      <c r="C77" s="6" t="s">
        <v>198</v>
      </c>
      <c r="D77" s="4" t="s">
        <v>200</v>
      </c>
    </row>
    <row r="78" spans="1:4" ht="15" customHeight="1" x14ac:dyDescent="0.35">
      <c r="A78" s="11" t="s">
        <v>263</v>
      </c>
      <c r="B78" s="5"/>
      <c r="C78" s="6" t="s">
        <v>186</v>
      </c>
      <c r="D78" s="4" t="s">
        <v>722</v>
      </c>
    </row>
    <row r="79" spans="1:4" ht="15" customHeight="1" x14ac:dyDescent="0.35">
      <c r="A79" s="11" t="s">
        <v>264</v>
      </c>
      <c r="B79" s="5"/>
      <c r="C79" s="6" t="s">
        <v>484</v>
      </c>
      <c r="D79" s="4" t="s">
        <v>486</v>
      </c>
    </row>
    <row r="80" spans="1:4" ht="15" customHeight="1" x14ac:dyDescent="0.35">
      <c r="A80" s="11" t="s">
        <v>265</v>
      </c>
      <c r="B80" s="5"/>
      <c r="C80" s="6" t="s">
        <v>488</v>
      </c>
      <c r="D80" s="4" t="s">
        <v>490</v>
      </c>
    </row>
    <row r="81" spans="1:4" s="28" customFormat="1" ht="75" customHeight="1" x14ac:dyDescent="0.35">
      <c r="A81" s="16" t="s">
        <v>266</v>
      </c>
      <c r="B81" s="17"/>
      <c r="C81" s="18" t="s">
        <v>197</v>
      </c>
      <c r="D81" s="15" t="s">
        <v>721</v>
      </c>
    </row>
    <row r="82" spans="1:4" s="28" customFormat="1" ht="45" customHeight="1" x14ac:dyDescent="0.35">
      <c r="A82" s="16" t="s">
        <v>267</v>
      </c>
      <c r="B82" s="17"/>
      <c r="C82" s="18" t="s">
        <v>187</v>
      </c>
      <c r="D82" s="15" t="s">
        <v>730</v>
      </c>
    </row>
    <row r="84" spans="1:4" ht="15" customHeight="1" x14ac:dyDescent="0.35">
      <c r="A84" s="11" t="s">
        <v>268</v>
      </c>
      <c r="B84" s="5"/>
      <c r="C84" s="6" t="s">
        <v>491</v>
      </c>
      <c r="D84" s="32" t="s">
        <v>742</v>
      </c>
    </row>
    <row r="85" spans="1:4" ht="15" customHeight="1" x14ac:dyDescent="0.35">
      <c r="A85" s="11" t="s">
        <v>269</v>
      </c>
      <c r="B85" s="5"/>
      <c r="C85" s="6" t="s">
        <v>492</v>
      </c>
      <c r="D85" s="32" t="s">
        <v>697</v>
      </c>
    </row>
    <row r="86" spans="1:4" ht="15" customHeight="1" x14ac:dyDescent="0.35">
      <c r="A86" s="11" t="s">
        <v>270</v>
      </c>
      <c r="B86" s="5"/>
      <c r="C86" s="6" t="s">
        <v>383</v>
      </c>
      <c r="D86" s="4" t="s">
        <v>743</v>
      </c>
    </row>
    <row r="87" spans="1:4" ht="15" customHeight="1" x14ac:dyDescent="0.35">
      <c r="A87" s="11" t="s">
        <v>271</v>
      </c>
      <c r="B87" s="5"/>
      <c r="C87" s="6" t="s">
        <v>376</v>
      </c>
      <c r="D87" s="4" t="s">
        <v>717</v>
      </c>
    </row>
    <row r="88" spans="1:4" ht="15" customHeight="1" x14ac:dyDescent="0.35">
      <c r="A88" s="11" t="s">
        <v>272</v>
      </c>
      <c r="B88" s="5"/>
      <c r="C88" s="6" t="s">
        <v>558</v>
      </c>
      <c r="D88" s="4" t="s">
        <v>744</v>
      </c>
    </row>
    <row r="89" spans="1:4" ht="15" customHeight="1" x14ac:dyDescent="0.35">
      <c r="A89" s="11" t="s">
        <v>273</v>
      </c>
      <c r="B89" s="5"/>
      <c r="C89" s="6" t="s">
        <v>198</v>
      </c>
      <c r="D89" s="4" t="s">
        <v>200</v>
      </c>
    </row>
    <row r="90" spans="1:4" ht="15" customHeight="1" x14ac:dyDescent="0.35">
      <c r="A90" s="11" t="s">
        <v>274</v>
      </c>
      <c r="B90" s="5"/>
      <c r="C90" s="6" t="s">
        <v>186</v>
      </c>
      <c r="D90" s="4" t="s">
        <v>746</v>
      </c>
    </row>
    <row r="91" spans="1:4" ht="15" customHeight="1" x14ac:dyDescent="0.35">
      <c r="A91" s="11" t="s">
        <v>275</v>
      </c>
      <c r="B91" s="5"/>
      <c r="C91" s="6" t="s">
        <v>484</v>
      </c>
      <c r="D91" s="4" t="s">
        <v>486</v>
      </c>
    </row>
    <row r="92" spans="1:4" ht="15" customHeight="1" x14ac:dyDescent="0.35">
      <c r="A92" s="11" t="s">
        <v>276</v>
      </c>
      <c r="B92" s="5"/>
      <c r="C92" s="6" t="s">
        <v>488</v>
      </c>
      <c r="D92" s="4" t="s">
        <v>353</v>
      </c>
    </row>
    <row r="93" spans="1:4" s="28" customFormat="1" ht="75" customHeight="1" x14ac:dyDescent="0.35">
      <c r="A93" s="16" t="s">
        <v>277</v>
      </c>
      <c r="B93" s="17"/>
      <c r="C93" s="18" t="s">
        <v>197</v>
      </c>
      <c r="D93" s="15" t="s">
        <v>749</v>
      </c>
    </row>
    <row r="94" spans="1:4" s="28" customFormat="1" ht="45" customHeight="1" x14ac:dyDescent="0.35">
      <c r="A94" s="16" t="s">
        <v>278</v>
      </c>
      <c r="B94" s="17"/>
      <c r="C94" s="18" t="s">
        <v>187</v>
      </c>
      <c r="D94" s="15" t="s">
        <v>745</v>
      </c>
    </row>
    <row r="96" spans="1:4" ht="15" customHeight="1" x14ac:dyDescent="0.35">
      <c r="A96" s="11" t="s">
        <v>279</v>
      </c>
      <c r="B96" s="5"/>
      <c r="C96" s="6" t="s">
        <v>491</v>
      </c>
      <c r="D96" s="32" t="s">
        <v>658</v>
      </c>
    </row>
    <row r="97" spans="1:4" ht="15" customHeight="1" x14ac:dyDescent="0.35">
      <c r="A97" s="11" t="s">
        <v>280</v>
      </c>
      <c r="B97" s="5"/>
      <c r="C97" s="6" t="s">
        <v>492</v>
      </c>
      <c r="D97" s="32" t="s">
        <v>658</v>
      </c>
    </row>
    <row r="98" spans="1:4" ht="15" customHeight="1" x14ac:dyDescent="0.35">
      <c r="A98" s="11" t="s">
        <v>281</v>
      </c>
      <c r="B98" s="5"/>
      <c r="C98" s="6" t="s">
        <v>384</v>
      </c>
      <c r="D98" s="4"/>
    </row>
    <row r="99" spans="1:4" ht="15" customHeight="1" x14ac:dyDescent="0.35">
      <c r="A99" s="11" t="s">
        <v>282</v>
      </c>
      <c r="B99" s="5"/>
      <c r="C99" s="6" t="s">
        <v>376</v>
      </c>
      <c r="D99" s="4"/>
    </row>
    <row r="100" spans="1:4" ht="15" customHeight="1" x14ac:dyDescent="0.35">
      <c r="A100" s="11" t="s">
        <v>283</v>
      </c>
      <c r="B100" s="5"/>
      <c r="C100" s="6" t="s">
        <v>558</v>
      </c>
      <c r="D100" s="4"/>
    </row>
    <row r="101" spans="1:4" ht="15" customHeight="1" x14ac:dyDescent="0.35">
      <c r="A101" s="11" t="s">
        <v>284</v>
      </c>
      <c r="B101" s="5"/>
      <c r="C101" s="6" t="s">
        <v>198</v>
      </c>
      <c r="D101" s="4"/>
    </row>
    <row r="102" spans="1:4" ht="15" customHeight="1" x14ac:dyDescent="0.35">
      <c r="A102" s="11" t="s">
        <v>285</v>
      </c>
      <c r="B102" s="5"/>
      <c r="C102" s="6" t="s">
        <v>186</v>
      </c>
      <c r="D102" s="4"/>
    </row>
    <row r="103" spans="1:4" ht="15" customHeight="1" x14ac:dyDescent="0.35">
      <c r="A103" s="11" t="s">
        <v>286</v>
      </c>
      <c r="B103" s="5"/>
      <c r="C103" s="6" t="s">
        <v>484</v>
      </c>
      <c r="D103" s="4"/>
    </row>
    <row r="104" spans="1:4" ht="15" customHeight="1" x14ac:dyDescent="0.35">
      <c r="A104" s="11" t="s">
        <v>287</v>
      </c>
      <c r="B104" s="5"/>
      <c r="C104" s="6" t="s">
        <v>488</v>
      </c>
      <c r="D104" s="4"/>
    </row>
    <row r="105" spans="1:4" s="28" customFormat="1" ht="75" customHeight="1" x14ac:dyDescent="0.35">
      <c r="A105" s="16" t="s">
        <v>288</v>
      </c>
      <c r="B105" s="17"/>
      <c r="C105" s="18" t="s">
        <v>197</v>
      </c>
      <c r="D105" s="15"/>
    </row>
    <row r="106" spans="1:4" s="28" customFormat="1" ht="45" customHeight="1" x14ac:dyDescent="0.35">
      <c r="A106" s="16" t="s">
        <v>289</v>
      </c>
      <c r="B106" s="17"/>
      <c r="C106" s="18" t="s">
        <v>187</v>
      </c>
      <c r="D106" s="15"/>
    </row>
    <row r="108" spans="1:4" ht="15" customHeight="1" x14ac:dyDescent="0.35">
      <c r="A108" s="11" t="s">
        <v>290</v>
      </c>
      <c r="B108" s="5"/>
      <c r="C108" s="6" t="s">
        <v>491</v>
      </c>
      <c r="D108" s="32" t="s">
        <v>658</v>
      </c>
    </row>
    <row r="109" spans="1:4" ht="15" customHeight="1" x14ac:dyDescent="0.35">
      <c r="A109" s="11" t="s">
        <v>291</v>
      </c>
      <c r="B109" s="5"/>
      <c r="C109" s="6" t="s">
        <v>492</v>
      </c>
      <c r="D109" s="32" t="s">
        <v>658</v>
      </c>
    </row>
    <row r="110" spans="1:4" ht="15" customHeight="1" x14ac:dyDescent="0.35">
      <c r="A110" s="11" t="s">
        <v>327</v>
      </c>
      <c r="B110" s="5"/>
      <c r="C110" s="6" t="s">
        <v>385</v>
      </c>
      <c r="D110" s="4"/>
    </row>
    <row r="111" spans="1:4" ht="15" customHeight="1" x14ac:dyDescent="0.35">
      <c r="A111" s="11" t="s">
        <v>328</v>
      </c>
      <c r="B111" s="5"/>
      <c r="C111" s="6" t="s">
        <v>376</v>
      </c>
      <c r="D111" s="4"/>
    </row>
    <row r="112" spans="1:4" ht="15" customHeight="1" x14ac:dyDescent="0.35">
      <c r="A112" s="11" t="s">
        <v>329</v>
      </c>
      <c r="B112" s="5"/>
      <c r="C112" s="6" t="s">
        <v>558</v>
      </c>
      <c r="D112" s="4"/>
    </row>
    <row r="113" spans="1:4" ht="15" customHeight="1" x14ac:dyDescent="0.35">
      <c r="A113" s="11" t="s">
        <v>330</v>
      </c>
      <c r="B113" s="5"/>
      <c r="C113" s="6" t="s">
        <v>198</v>
      </c>
      <c r="D113" s="4"/>
    </row>
    <row r="114" spans="1:4" ht="15" customHeight="1" x14ac:dyDescent="0.35">
      <c r="A114" s="11" t="s">
        <v>331</v>
      </c>
      <c r="B114" s="5"/>
      <c r="C114" s="6" t="s">
        <v>186</v>
      </c>
      <c r="D114" s="4"/>
    </row>
    <row r="115" spans="1:4" ht="15" customHeight="1" x14ac:dyDescent="0.35">
      <c r="A115" s="11" t="s">
        <v>332</v>
      </c>
      <c r="B115" s="5"/>
      <c r="C115" s="6" t="s">
        <v>484</v>
      </c>
      <c r="D115" s="4"/>
    </row>
    <row r="116" spans="1:4" ht="15" customHeight="1" x14ac:dyDescent="0.35">
      <c r="A116" s="11" t="s">
        <v>333</v>
      </c>
      <c r="B116" s="5"/>
      <c r="C116" s="6" t="s">
        <v>488</v>
      </c>
      <c r="D116" s="4"/>
    </row>
    <row r="117" spans="1:4" s="28" customFormat="1" ht="75" customHeight="1" x14ac:dyDescent="0.35">
      <c r="A117" s="16" t="s">
        <v>334</v>
      </c>
      <c r="B117" s="17"/>
      <c r="C117" s="18" t="s">
        <v>197</v>
      </c>
      <c r="D117" s="15"/>
    </row>
    <row r="118" spans="1:4" s="28" customFormat="1" ht="45" customHeight="1" x14ac:dyDescent="0.35">
      <c r="A118" s="16" t="s">
        <v>335</v>
      </c>
      <c r="B118" s="17"/>
      <c r="C118" s="18" t="s">
        <v>187</v>
      </c>
      <c r="D118" s="15"/>
    </row>
    <row r="120" spans="1:4" ht="15" customHeight="1" x14ac:dyDescent="0.35">
      <c r="A120" s="11" t="s">
        <v>336</v>
      </c>
      <c r="B120" s="5"/>
      <c r="C120" s="6" t="s">
        <v>491</v>
      </c>
      <c r="D120" s="32" t="s">
        <v>658</v>
      </c>
    </row>
    <row r="121" spans="1:4" ht="15" customHeight="1" x14ac:dyDescent="0.35">
      <c r="A121" s="11" t="s">
        <v>337</v>
      </c>
      <c r="B121" s="5"/>
      <c r="C121" s="6" t="s">
        <v>492</v>
      </c>
      <c r="D121" s="32" t="s">
        <v>658</v>
      </c>
    </row>
    <row r="122" spans="1:4" ht="15" customHeight="1" x14ac:dyDescent="0.35">
      <c r="A122" s="11" t="s">
        <v>338</v>
      </c>
      <c r="B122" s="5"/>
      <c r="C122" s="6" t="s">
        <v>386</v>
      </c>
      <c r="D122" s="4"/>
    </row>
    <row r="123" spans="1:4" ht="15" customHeight="1" x14ac:dyDescent="0.35">
      <c r="A123" s="11" t="s">
        <v>339</v>
      </c>
      <c r="B123" s="5"/>
      <c r="C123" s="6" t="s">
        <v>376</v>
      </c>
      <c r="D123" s="4"/>
    </row>
    <row r="124" spans="1:4" ht="15" customHeight="1" x14ac:dyDescent="0.35">
      <c r="A124" s="11" t="s">
        <v>340</v>
      </c>
      <c r="B124" s="5"/>
      <c r="C124" s="6" t="s">
        <v>558</v>
      </c>
      <c r="D124" s="4"/>
    </row>
    <row r="125" spans="1:4" ht="15" customHeight="1" x14ac:dyDescent="0.35">
      <c r="A125" s="11" t="s">
        <v>341</v>
      </c>
      <c r="B125" s="5"/>
      <c r="C125" s="6" t="s">
        <v>198</v>
      </c>
      <c r="D125" s="4"/>
    </row>
    <row r="126" spans="1:4" ht="15" customHeight="1" x14ac:dyDescent="0.35">
      <c r="A126" s="11" t="s">
        <v>342</v>
      </c>
      <c r="B126" s="5"/>
      <c r="C126" s="6" t="s">
        <v>186</v>
      </c>
      <c r="D126" s="4"/>
    </row>
    <row r="127" spans="1:4" ht="15" customHeight="1" x14ac:dyDescent="0.35">
      <c r="A127" s="11" t="s">
        <v>343</v>
      </c>
      <c r="B127" s="5"/>
      <c r="C127" s="6" t="s">
        <v>484</v>
      </c>
      <c r="D127" s="4"/>
    </row>
    <row r="128" spans="1:4" ht="15" customHeight="1" x14ac:dyDescent="0.35">
      <c r="A128" s="11" t="s">
        <v>344</v>
      </c>
      <c r="B128" s="5"/>
      <c r="C128" s="6" t="s">
        <v>488</v>
      </c>
      <c r="D128" s="4"/>
    </row>
    <row r="129" spans="1:4" s="28" customFormat="1" ht="75" customHeight="1" x14ac:dyDescent="0.35">
      <c r="A129" s="16" t="s">
        <v>345</v>
      </c>
      <c r="B129" s="17"/>
      <c r="C129" s="18" t="s">
        <v>197</v>
      </c>
      <c r="D129" s="15"/>
    </row>
    <row r="130" spans="1:4" s="28" customFormat="1" ht="45" customHeight="1" x14ac:dyDescent="0.35">
      <c r="A130" s="16" t="s">
        <v>346</v>
      </c>
      <c r="B130" s="17"/>
      <c r="C130" s="18" t="s">
        <v>187</v>
      </c>
      <c r="D130" s="15"/>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zoomScaleNormal="100" workbookViewId="0">
      <selection activeCell="H33" sqref="H33"/>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7" t="s">
        <v>210</v>
      </c>
      <c r="D6" s="37"/>
    </row>
    <row r="7" spans="1:4" ht="15" customHeight="1" x14ac:dyDescent="0.35">
      <c r="A7" s="11" t="s">
        <v>121</v>
      </c>
      <c r="B7" s="5"/>
      <c r="C7" s="6" t="s">
        <v>105</v>
      </c>
      <c r="D7" s="12" t="str">
        <f>candidatura</f>
        <v xml:space="preserve">Antonio Bologna; </v>
      </c>
    </row>
    <row r="8" spans="1:4" ht="15" customHeight="1" x14ac:dyDescent="0.35">
      <c r="A8" s="11"/>
      <c r="B8" s="5"/>
      <c r="C8" s="5"/>
      <c r="D8" s="5"/>
    </row>
    <row r="9" spans="1:4" ht="20" x14ac:dyDescent="0.35">
      <c r="A9" s="11"/>
      <c r="B9" s="5"/>
      <c r="C9" s="34" t="s">
        <v>661</v>
      </c>
      <c r="D9" s="34"/>
    </row>
    <row r="10" spans="1:4" ht="30" customHeight="1" x14ac:dyDescent="0.35">
      <c r="A10" s="11"/>
      <c r="B10" s="5"/>
      <c r="C10" s="38" t="s">
        <v>478</v>
      </c>
      <c r="D10" s="38"/>
    </row>
    <row r="11" spans="1:4" ht="15" customHeight="1" x14ac:dyDescent="0.35">
      <c r="A11" s="11"/>
      <c r="B11" s="5"/>
      <c r="C11" s="5"/>
      <c r="D11" s="5"/>
    </row>
    <row r="12" spans="1:4" ht="15" customHeight="1" x14ac:dyDescent="0.35">
      <c r="A12" s="11" t="s">
        <v>402</v>
      </c>
      <c r="B12" s="5"/>
      <c r="C12" s="6" t="s">
        <v>387</v>
      </c>
      <c r="D12" s="4" t="s">
        <v>733</v>
      </c>
    </row>
    <row r="13" spans="1:4" ht="15" customHeight="1" x14ac:dyDescent="0.35">
      <c r="A13" s="11" t="s">
        <v>403</v>
      </c>
      <c r="B13" s="5"/>
      <c r="C13" s="6" t="s">
        <v>388</v>
      </c>
      <c r="D13" s="4" t="s">
        <v>392</v>
      </c>
    </row>
    <row r="14" spans="1:4" ht="15" customHeight="1" x14ac:dyDescent="0.35">
      <c r="A14" s="11" t="s">
        <v>404</v>
      </c>
      <c r="B14" s="5"/>
      <c r="C14" s="6" t="s">
        <v>389</v>
      </c>
      <c r="D14" s="4" t="s">
        <v>395</v>
      </c>
    </row>
    <row r="15" spans="1:4" ht="60" customHeight="1" x14ac:dyDescent="0.35">
      <c r="A15" s="16" t="s">
        <v>405</v>
      </c>
      <c r="B15" s="17"/>
      <c r="C15" s="18" t="s">
        <v>672</v>
      </c>
      <c r="D15" s="15" t="s">
        <v>731</v>
      </c>
    </row>
    <row r="16" spans="1:4" ht="60" customHeight="1" x14ac:dyDescent="0.35">
      <c r="A16" s="16" t="s">
        <v>406</v>
      </c>
      <c r="B16" s="17"/>
      <c r="C16" s="18" t="s">
        <v>673</v>
      </c>
      <c r="D16" s="15" t="s">
        <v>734</v>
      </c>
    </row>
    <row r="17" spans="1:4" ht="15" customHeight="1" x14ac:dyDescent="0.35">
      <c r="A17" s="11" t="s">
        <v>407</v>
      </c>
      <c r="B17" s="5"/>
      <c r="C17" s="6" t="s">
        <v>348</v>
      </c>
      <c r="D17" s="4" t="s">
        <v>732</v>
      </c>
    </row>
    <row r="18" spans="1:4" ht="15" customHeight="1" x14ac:dyDescent="0.35">
      <c r="A18" s="11" t="s">
        <v>408</v>
      </c>
      <c r="B18" s="5"/>
      <c r="C18" s="6" t="s">
        <v>390</v>
      </c>
      <c r="D18" s="4" t="s">
        <v>397</v>
      </c>
    </row>
    <row r="19" spans="1:4" ht="15" customHeight="1" x14ac:dyDescent="0.35">
      <c r="A19" s="11" t="s">
        <v>409</v>
      </c>
      <c r="B19" s="5"/>
      <c r="C19" s="6" t="s">
        <v>391</v>
      </c>
      <c r="D19" s="4" t="s">
        <v>301</v>
      </c>
    </row>
    <row r="20" spans="1:4" ht="15" customHeight="1" x14ac:dyDescent="0.35">
      <c r="A20" s="11"/>
      <c r="B20" s="5"/>
      <c r="C20" s="5"/>
      <c r="D20" s="5"/>
    </row>
    <row r="21" spans="1:4" ht="15" customHeight="1" x14ac:dyDescent="0.35">
      <c r="A21" s="11" t="s">
        <v>410</v>
      </c>
      <c r="B21" s="5"/>
      <c r="C21" s="6" t="s">
        <v>387</v>
      </c>
      <c r="D21" s="4" t="s">
        <v>735</v>
      </c>
    </row>
    <row r="22" spans="1:4" ht="15" customHeight="1" x14ac:dyDescent="0.35">
      <c r="A22" s="11" t="s">
        <v>411</v>
      </c>
      <c r="B22" s="5"/>
      <c r="C22" s="6" t="s">
        <v>388</v>
      </c>
      <c r="D22" s="4" t="s">
        <v>393</v>
      </c>
    </row>
    <row r="23" spans="1:4" ht="15" customHeight="1" x14ac:dyDescent="0.35">
      <c r="A23" s="11" t="s">
        <v>412</v>
      </c>
      <c r="B23" s="5"/>
      <c r="C23" s="6" t="s">
        <v>389</v>
      </c>
      <c r="D23" s="4" t="s">
        <v>395</v>
      </c>
    </row>
    <row r="24" spans="1:4" ht="60" customHeight="1" x14ac:dyDescent="0.35">
      <c r="A24" s="16" t="s">
        <v>413</v>
      </c>
      <c r="B24" s="17"/>
      <c r="C24" s="18" t="s">
        <v>674</v>
      </c>
      <c r="D24" s="15" t="s">
        <v>738</v>
      </c>
    </row>
    <row r="25" spans="1:4" ht="60" customHeight="1" x14ac:dyDescent="0.35">
      <c r="A25" s="16" t="s">
        <v>414</v>
      </c>
      <c r="B25" s="17"/>
      <c r="C25" s="18" t="s">
        <v>673</v>
      </c>
      <c r="D25" s="15" t="s">
        <v>736</v>
      </c>
    </row>
    <row r="26" spans="1:4" ht="15" customHeight="1" x14ac:dyDescent="0.35">
      <c r="A26" s="11" t="s">
        <v>415</v>
      </c>
      <c r="B26" s="5"/>
      <c r="C26" s="6" t="s">
        <v>348</v>
      </c>
      <c r="D26" s="4" t="s">
        <v>737</v>
      </c>
    </row>
    <row r="27" spans="1:4" ht="15" customHeight="1" x14ac:dyDescent="0.35">
      <c r="A27" s="11" t="s">
        <v>416</v>
      </c>
      <c r="B27" s="5"/>
      <c r="C27" s="6" t="s">
        <v>390</v>
      </c>
      <c r="D27" s="4" t="s">
        <v>397</v>
      </c>
    </row>
    <row r="28" spans="1:4" ht="15" customHeight="1" x14ac:dyDescent="0.35">
      <c r="A28" s="11" t="s">
        <v>417</v>
      </c>
      <c r="B28" s="5"/>
      <c r="C28" s="6" t="s">
        <v>391</v>
      </c>
      <c r="D28" s="4" t="s">
        <v>299</v>
      </c>
    </row>
    <row r="29" spans="1:4" ht="15" customHeight="1" x14ac:dyDescent="0.35">
      <c r="A29" s="11"/>
      <c r="B29" s="5"/>
      <c r="C29" s="5"/>
      <c r="D29" s="5"/>
    </row>
    <row r="30" spans="1:4" ht="15" customHeight="1" x14ac:dyDescent="0.35">
      <c r="A30" s="11" t="s">
        <v>418</v>
      </c>
      <c r="B30" s="5"/>
      <c r="C30" s="6" t="s">
        <v>387</v>
      </c>
      <c r="D30" s="33" t="s">
        <v>740</v>
      </c>
    </row>
    <row r="31" spans="1:4" ht="15" customHeight="1" x14ac:dyDescent="0.35">
      <c r="A31" s="11" t="s">
        <v>419</v>
      </c>
      <c r="B31" s="5"/>
      <c r="C31" s="6" t="s">
        <v>388</v>
      </c>
      <c r="D31" s="4" t="s">
        <v>393</v>
      </c>
    </row>
    <row r="32" spans="1:4" ht="15" customHeight="1" x14ac:dyDescent="0.35">
      <c r="A32" s="11" t="s">
        <v>420</v>
      </c>
      <c r="B32" s="5"/>
      <c r="C32" s="6" t="s">
        <v>389</v>
      </c>
      <c r="D32" s="4" t="s">
        <v>395</v>
      </c>
    </row>
    <row r="33" spans="1:4" ht="60" customHeight="1" x14ac:dyDescent="0.35">
      <c r="A33" s="16" t="s">
        <v>421</v>
      </c>
      <c r="B33" s="17"/>
      <c r="C33" s="18" t="s">
        <v>675</v>
      </c>
      <c r="D33" s="15" t="s">
        <v>739</v>
      </c>
    </row>
    <row r="34" spans="1:4" ht="60" customHeight="1" x14ac:dyDescent="0.35">
      <c r="A34" s="16" t="s">
        <v>422</v>
      </c>
      <c r="B34" s="17"/>
      <c r="C34" s="18" t="s">
        <v>673</v>
      </c>
      <c r="D34" s="15" t="s">
        <v>741</v>
      </c>
    </row>
    <row r="35" spans="1:4" ht="15" customHeight="1" x14ac:dyDescent="0.35">
      <c r="A35" s="11" t="s">
        <v>423</v>
      </c>
      <c r="B35" s="5"/>
      <c r="C35" s="6" t="s">
        <v>348</v>
      </c>
      <c r="D35" s="4" t="s">
        <v>732</v>
      </c>
    </row>
    <row r="36" spans="1:4" ht="15" customHeight="1" x14ac:dyDescent="0.35">
      <c r="A36" s="11" t="s">
        <v>424</v>
      </c>
      <c r="B36" s="5"/>
      <c r="C36" s="6" t="s">
        <v>390</v>
      </c>
      <c r="D36" s="4" t="s">
        <v>397</v>
      </c>
    </row>
    <row r="37" spans="1:4" ht="15" customHeight="1" x14ac:dyDescent="0.35">
      <c r="A37" s="11" t="s">
        <v>425</v>
      </c>
      <c r="B37" s="5"/>
      <c r="C37" s="6" t="s">
        <v>391</v>
      </c>
      <c r="D37" s="4" t="s">
        <v>301</v>
      </c>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topLeftCell="A43" zoomScaleNormal="100" workbookViewId="0">
      <selection activeCell="C50" sqref="C50"/>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7" t="s">
        <v>122</v>
      </c>
      <c r="D6" s="37"/>
    </row>
    <row r="7" spans="1:4" ht="15" customHeight="1" x14ac:dyDescent="0.35">
      <c r="A7" s="11" t="s">
        <v>123</v>
      </c>
      <c r="B7" s="5"/>
      <c r="C7" s="6" t="s">
        <v>105</v>
      </c>
      <c r="D7" s="12" t="str">
        <f>candidatura</f>
        <v xml:space="preserve">Antonio Bologna; </v>
      </c>
    </row>
    <row r="8" spans="1:4" ht="15" customHeight="1" x14ac:dyDescent="0.35">
      <c r="A8" s="11"/>
      <c r="B8" s="5"/>
      <c r="C8" s="5"/>
      <c r="D8" s="5"/>
    </row>
    <row r="9" spans="1:4" ht="20" x14ac:dyDescent="0.35">
      <c r="A9" s="11"/>
      <c r="B9" s="5"/>
      <c r="C9" s="34" t="s">
        <v>479</v>
      </c>
      <c r="D9" s="34"/>
    </row>
    <row r="10" spans="1:4" ht="15" customHeight="1" x14ac:dyDescent="0.35">
      <c r="A10" s="11"/>
      <c r="B10" s="5"/>
      <c r="C10" s="5"/>
      <c r="D10" s="5"/>
    </row>
    <row r="11" spans="1:4" ht="15" customHeight="1" x14ac:dyDescent="0.35">
      <c r="A11" s="11" t="s">
        <v>432</v>
      </c>
      <c r="B11" s="5"/>
      <c r="C11" s="6" t="s">
        <v>353</v>
      </c>
      <c r="D11" s="12" t="str">
        <f>spec_principale</f>
        <v>MANIFATTURIERO_AVANZATO</v>
      </c>
    </row>
    <row r="12" spans="1:4" ht="15" customHeight="1" x14ac:dyDescent="0.35">
      <c r="A12" s="11" t="s">
        <v>433</v>
      </c>
      <c r="B12" s="5"/>
      <c r="C12" s="6" t="s">
        <v>355</v>
      </c>
      <c r="D12" s="12" t="str">
        <f>ads1_principale</f>
        <v>MA1 Produzione con processi innovativi</v>
      </c>
    </row>
    <row r="13" spans="1:4" ht="15" customHeight="1" x14ac:dyDescent="0.35">
      <c r="A13" s="11" t="s">
        <v>434</v>
      </c>
      <c r="B13" s="5"/>
      <c r="C13" s="6" t="s">
        <v>356</v>
      </c>
      <c r="D13" s="12" t="str">
        <f>ads1_secondaria</f>
        <v>MA4 Manufacturing per prodotti personalizzati</v>
      </c>
    </row>
    <row r="14" spans="1:4" ht="15" customHeight="1" x14ac:dyDescent="0.35">
      <c r="A14" s="11" t="s">
        <v>435</v>
      </c>
      <c r="B14" s="5"/>
      <c r="C14" s="6" t="s">
        <v>474</v>
      </c>
      <c r="D14" s="12" t="str">
        <f>ads1_terziaria</f>
        <v>MA3 Sistemi di produzione ad alta efficienza</v>
      </c>
    </row>
    <row r="15" spans="1:4" ht="15" customHeight="1" x14ac:dyDescent="0.35">
      <c r="A15" s="11"/>
      <c r="B15" s="5"/>
      <c r="C15" s="5"/>
      <c r="D15" s="5"/>
    </row>
    <row r="16" spans="1:4" ht="15" customHeight="1" x14ac:dyDescent="0.35">
      <c r="A16" s="11" t="s">
        <v>436</v>
      </c>
      <c r="B16" s="5"/>
      <c r="C16" s="6" t="s">
        <v>363</v>
      </c>
      <c r="D16" s="12" t="str">
        <f>l1_tema</f>
        <v>Scienze dell'Informazione</v>
      </c>
    </row>
    <row r="17" spans="1:4" ht="15" customHeight="1" x14ac:dyDescent="0.35">
      <c r="A17" s="11" t="s">
        <v>437</v>
      </c>
      <c r="B17" s="5"/>
      <c r="C17" s="6" t="s">
        <v>364</v>
      </c>
      <c r="D17" s="12" t="str">
        <f>l2_tema</f>
        <v>Pianoforte</v>
      </c>
    </row>
    <row r="18" spans="1:4" ht="15" customHeight="1" x14ac:dyDescent="0.35">
      <c r="A18" s="11" t="s">
        <v>438</v>
      </c>
      <c r="B18" s="5"/>
      <c r="C18" s="6" t="s">
        <v>365</v>
      </c>
      <c r="D18" s="12">
        <f>dot_tema</f>
        <v>0</v>
      </c>
    </row>
    <row r="19" spans="1:4" ht="15" customHeight="1" x14ac:dyDescent="0.35">
      <c r="A19" s="11" t="s">
        <v>439</v>
      </c>
      <c r="B19" s="5"/>
      <c r="C19" s="6" t="s">
        <v>366</v>
      </c>
      <c r="D19" s="12">
        <f>m2l_tema</f>
        <v>0</v>
      </c>
    </row>
    <row r="20" spans="1:4" ht="15" customHeight="1" x14ac:dyDescent="0.35">
      <c r="A20" s="11"/>
      <c r="B20" s="5"/>
      <c r="C20" s="5"/>
      <c r="D20" s="5"/>
    </row>
    <row r="21" spans="1:4" ht="45" customHeight="1" x14ac:dyDescent="0.35">
      <c r="A21" s="11"/>
      <c r="B21" s="5"/>
      <c r="C21" s="38" t="s">
        <v>431</v>
      </c>
      <c r="D21" s="38"/>
    </row>
    <row r="22" spans="1:4" ht="262.5" customHeight="1" x14ac:dyDescent="0.35">
      <c r="A22" s="16" t="s">
        <v>440</v>
      </c>
      <c r="B22" s="5"/>
      <c r="C22" s="27" t="s">
        <v>429</v>
      </c>
      <c r="D22" s="14" t="s">
        <v>747</v>
      </c>
    </row>
    <row r="23" spans="1:4" ht="15" customHeight="1" x14ac:dyDescent="0.35">
      <c r="A23" s="11"/>
      <c r="B23" s="5"/>
      <c r="C23" s="5"/>
      <c r="D23" s="5"/>
    </row>
    <row r="24" spans="1:4" ht="15" customHeight="1" x14ac:dyDescent="0.35">
      <c r="A24" s="11" t="s">
        <v>441</v>
      </c>
      <c r="B24" s="5"/>
      <c r="C24" s="6" t="s">
        <v>367</v>
      </c>
      <c r="D24" s="12" t="str">
        <f>ep1_denominazione</f>
        <v>Vigevano Web</v>
      </c>
    </row>
    <row r="25" spans="1:4" ht="15" customHeight="1" x14ac:dyDescent="0.35">
      <c r="A25" s="11" t="s">
        <v>442</v>
      </c>
      <c r="B25" s="5"/>
      <c r="C25" s="6" t="s">
        <v>368</v>
      </c>
      <c r="D25" s="12" t="str">
        <f>ep2_denominazione</f>
        <v>Diapason Consortium</v>
      </c>
    </row>
    <row r="26" spans="1:4" ht="15" customHeight="1" x14ac:dyDescent="0.35">
      <c r="A26" s="11" t="s">
        <v>443</v>
      </c>
      <c r="B26" s="5"/>
      <c r="C26" s="6" t="s">
        <v>369</v>
      </c>
      <c r="D26" s="12" t="str">
        <f>ep3_denominazione</f>
        <v>CESTEC, Regione Lombardia</v>
      </c>
    </row>
    <row r="27" spans="1:4" ht="15" customHeight="1" x14ac:dyDescent="0.35">
      <c r="A27" s="11" t="s">
        <v>444</v>
      </c>
      <c r="B27" s="5"/>
      <c r="C27" s="6" t="s">
        <v>370</v>
      </c>
      <c r="D27" s="12" t="str">
        <f>ep4_denominazione</f>
        <v>Orchestra Sinfonica Nazionale della RAI, Radiotelevisione Italiana</v>
      </c>
    </row>
    <row r="28" spans="1:4" ht="15" customHeight="1" x14ac:dyDescent="0.35">
      <c r="A28" s="11" t="s">
        <v>445</v>
      </c>
      <c r="B28" s="5"/>
      <c r="C28" s="6" t="s">
        <v>371</v>
      </c>
      <c r="D28" s="12" t="str">
        <f>ep5_denominazione</f>
        <v>Medium Size SRL</v>
      </c>
    </row>
    <row r="29" spans="1:4" ht="15" customHeight="1" x14ac:dyDescent="0.35">
      <c r="A29" s="11" t="s">
        <v>446</v>
      </c>
      <c r="B29" s="5"/>
      <c r="C29" s="6" t="s">
        <v>372</v>
      </c>
      <c r="D29" s="12" t="str">
        <f>ep6_denominazione</f>
        <v>Confartigianato Imprese Vigevano e Lomellina</v>
      </c>
    </row>
    <row r="30" spans="1:4" ht="15" customHeight="1" x14ac:dyDescent="0.35">
      <c r="A30" s="11" t="s">
        <v>447</v>
      </c>
      <c r="B30" s="5"/>
      <c r="C30" s="6" t="s">
        <v>373</v>
      </c>
      <c r="D30" s="12" t="str">
        <f>ep7_denominazione</f>
        <v>Comufficio</v>
      </c>
    </row>
    <row r="31" spans="1:4" ht="15" customHeight="1" x14ac:dyDescent="0.35">
      <c r="A31" s="11" t="s">
        <v>448</v>
      </c>
      <c r="B31" s="5"/>
      <c r="C31" s="6" t="s">
        <v>374</v>
      </c>
      <c r="D31" s="12">
        <f>ep8_denominazione</f>
        <v>0</v>
      </c>
    </row>
    <row r="32" spans="1:4" ht="15" customHeight="1" x14ac:dyDescent="0.35">
      <c r="A32" s="11" t="s">
        <v>449</v>
      </c>
      <c r="B32" s="5"/>
      <c r="C32" s="6" t="s">
        <v>375</v>
      </c>
      <c r="D32" s="12">
        <f>ep9_denominazione</f>
        <v>0</v>
      </c>
    </row>
    <row r="33" spans="1:4" ht="15" customHeight="1" x14ac:dyDescent="0.35">
      <c r="A33" s="11" t="s">
        <v>450</v>
      </c>
      <c r="B33" s="5"/>
      <c r="C33" s="6" t="s">
        <v>211</v>
      </c>
      <c r="D33" s="12">
        <f>ep10_denominazione</f>
        <v>0</v>
      </c>
    </row>
    <row r="34" spans="1:4" ht="45" customHeight="1" x14ac:dyDescent="0.35">
      <c r="A34" s="11"/>
      <c r="B34" s="5"/>
      <c r="C34" s="38" t="s">
        <v>481</v>
      </c>
      <c r="D34" s="38"/>
    </row>
    <row r="35" spans="1:4" ht="262.5" customHeight="1" x14ac:dyDescent="0.35">
      <c r="A35" s="16" t="s">
        <v>451</v>
      </c>
      <c r="B35" s="5"/>
      <c r="C35" s="27" t="s">
        <v>430</v>
      </c>
      <c r="D35" s="14" t="s">
        <v>748</v>
      </c>
    </row>
    <row r="36" spans="1:4" ht="15" customHeight="1" x14ac:dyDescent="0.35">
      <c r="A36" s="11"/>
      <c r="B36" s="5"/>
      <c r="C36" s="5"/>
      <c r="D36" s="5"/>
    </row>
    <row r="37" spans="1:4" ht="20" x14ac:dyDescent="0.35">
      <c r="A37" s="11"/>
      <c r="B37" s="5"/>
      <c r="C37" s="34" t="s">
        <v>480</v>
      </c>
      <c r="D37" s="34"/>
    </row>
    <row r="38" spans="1:4" ht="15" customHeight="1" x14ac:dyDescent="0.35">
      <c r="A38" s="11"/>
      <c r="B38" s="5"/>
      <c r="C38" s="5"/>
      <c r="D38" s="5"/>
    </row>
    <row r="39" spans="1:4" ht="15" customHeight="1" x14ac:dyDescent="0.35">
      <c r="A39" s="11" t="s">
        <v>452</v>
      </c>
      <c r="B39" s="5"/>
      <c r="C39" s="6" t="s">
        <v>354</v>
      </c>
      <c r="D39" s="12" t="str">
        <f>spec_secondaria</f>
        <v>INDUSTRIE_CREATIVE_E_CULTURALI</v>
      </c>
    </row>
    <row r="40" spans="1:4" ht="15" customHeight="1" x14ac:dyDescent="0.35">
      <c r="A40" s="11" t="s">
        <v>453</v>
      </c>
      <c r="B40" s="5"/>
      <c r="C40" s="6" t="s">
        <v>357</v>
      </c>
      <c r="D40" s="12" t="str">
        <f>ads2_principale</f>
        <v>ICC3 Strumentazione e sensoristica per la diagnostica e la sicurezza dei Beni Culturali</v>
      </c>
    </row>
    <row r="41" spans="1:4" ht="15" customHeight="1" x14ac:dyDescent="0.35">
      <c r="A41" s="11" t="s">
        <v>454</v>
      </c>
      <c r="B41" s="5"/>
      <c r="C41" s="6" t="s">
        <v>358</v>
      </c>
      <c r="D41" s="12" t="str">
        <f>ads2_secondaria</f>
        <v>ICC4 Moda e Design</v>
      </c>
    </row>
    <row r="42" spans="1:4" ht="15" customHeight="1" x14ac:dyDescent="0.35">
      <c r="A42" s="11" t="s">
        <v>455</v>
      </c>
      <c r="B42" s="5"/>
      <c r="C42" s="6" t="s">
        <v>475</v>
      </c>
      <c r="D42" s="12" t="str">
        <f>ads2_terziaria</f>
        <v>ICC5 Esperienze coinvolgenti, sicure e partecipative dei contenuti digitali</v>
      </c>
    </row>
    <row r="43" spans="1:4" ht="15" customHeight="1" x14ac:dyDescent="0.35">
      <c r="A43" s="11"/>
      <c r="B43" s="5"/>
      <c r="C43" s="5"/>
      <c r="D43" s="5"/>
    </row>
    <row r="44" spans="1:4" ht="15" customHeight="1" x14ac:dyDescent="0.35">
      <c r="A44" s="11" t="s">
        <v>456</v>
      </c>
      <c r="B44" s="5"/>
      <c r="C44" s="6" t="s">
        <v>363</v>
      </c>
      <c r="D44" s="12" t="str">
        <f>l1_tema</f>
        <v>Scienze dell'Informazione</v>
      </c>
    </row>
    <row r="45" spans="1:4" ht="15" customHeight="1" x14ac:dyDescent="0.35">
      <c r="A45" s="11" t="s">
        <v>457</v>
      </c>
      <c r="B45" s="5"/>
      <c r="C45" s="6" t="s">
        <v>364</v>
      </c>
      <c r="D45" s="12" t="str">
        <f>l2_tema</f>
        <v>Pianoforte</v>
      </c>
    </row>
    <row r="46" spans="1:4" ht="15" customHeight="1" x14ac:dyDescent="0.35">
      <c r="A46" s="11" t="s">
        <v>458</v>
      </c>
      <c r="B46" s="5"/>
      <c r="C46" s="6" t="s">
        <v>365</v>
      </c>
      <c r="D46" s="12">
        <f>dot_tema</f>
        <v>0</v>
      </c>
    </row>
    <row r="47" spans="1:4" ht="15" customHeight="1" x14ac:dyDescent="0.35">
      <c r="A47" s="11" t="s">
        <v>459</v>
      </c>
      <c r="B47" s="5"/>
      <c r="C47" s="6" t="s">
        <v>366</v>
      </c>
      <c r="D47" s="12">
        <f>m2l_tema</f>
        <v>0</v>
      </c>
    </row>
    <row r="48" spans="1:4" ht="15" customHeight="1" x14ac:dyDescent="0.35">
      <c r="A48" s="11"/>
      <c r="B48" s="5"/>
      <c r="C48" s="5"/>
      <c r="D48" s="5"/>
    </row>
    <row r="49" spans="1:4" ht="60" customHeight="1" x14ac:dyDescent="0.35">
      <c r="A49" s="11"/>
      <c r="B49" s="5"/>
      <c r="C49" s="38" t="s">
        <v>482</v>
      </c>
      <c r="D49" s="38"/>
    </row>
    <row r="50" spans="1:4" ht="262.5" customHeight="1" x14ac:dyDescent="0.35">
      <c r="A50" s="16" t="s">
        <v>460</v>
      </c>
      <c r="B50" s="5"/>
      <c r="C50" s="27" t="s">
        <v>429</v>
      </c>
      <c r="D50" s="15" t="s">
        <v>751</v>
      </c>
    </row>
    <row r="51" spans="1:4" ht="15" customHeight="1" x14ac:dyDescent="0.35">
      <c r="A51" s="11"/>
      <c r="B51" s="5"/>
      <c r="C51" s="5"/>
      <c r="D51" s="5"/>
    </row>
    <row r="52" spans="1:4" ht="15" customHeight="1" x14ac:dyDescent="0.35">
      <c r="A52" s="11" t="s">
        <v>461</v>
      </c>
      <c r="B52" s="5"/>
      <c r="C52" s="6" t="s">
        <v>367</v>
      </c>
      <c r="D52" s="12" t="str">
        <f>ep1_denominazione</f>
        <v>Vigevano Web</v>
      </c>
    </row>
    <row r="53" spans="1:4" ht="15" customHeight="1" x14ac:dyDescent="0.35">
      <c r="A53" s="11" t="s">
        <v>462</v>
      </c>
      <c r="B53" s="5"/>
      <c r="C53" s="6" t="s">
        <v>368</v>
      </c>
      <c r="D53" s="12" t="str">
        <f>ep2_denominazione</f>
        <v>Diapason Consortium</v>
      </c>
    </row>
    <row r="54" spans="1:4" ht="15" customHeight="1" x14ac:dyDescent="0.35">
      <c r="A54" s="11" t="s">
        <v>463</v>
      </c>
      <c r="B54" s="5"/>
      <c r="C54" s="6" t="s">
        <v>369</v>
      </c>
      <c r="D54" s="12" t="str">
        <f>ep3_denominazione</f>
        <v>CESTEC, Regione Lombardia</v>
      </c>
    </row>
    <row r="55" spans="1:4" ht="15" customHeight="1" x14ac:dyDescent="0.35">
      <c r="A55" s="11" t="s">
        <v>464</v>
      </c>
      <c r="B55" s="5"/>
      <c r="C55" s="6" t="s">
        <v>370</v>
      </c>
      <c r="D55" s="12" t="str">
        <f>ep4_denominazione</f>
        <v>Orchestra Sinfonica Nazionale della RAI, Radiotelevisione Italiana</v>
      </c>
    </row>
    <row r="56" spans="1:4" ht="15" customHeight="1" x14ac:dyDescent="0.35">
      <c r="A56" s="11" t="s">
        <v>465</v>
      </c>
      <c r="B56" s="5"/>
      <c r="C56" s="6" t="s">
        <v>371</v>
      </c>
      <c r="D56" s="12" t="str">
        <f>ep5_denominazione</f>
        <v>Medium Size SRL</v>
      </c>
    </row>
    <row r="57" spans="1:4" ht="15" customHeight="1" x14ac:dyDescent="0.35">
      <c r="A57" s="11" t="s">
        <v>466</v>
      </c>
      <c r="B57" s="5"/>
      <c r="C57" s="6" t="s">
        <v>372</v>
      </c>
      <c r="D57" s="12" t="str">
        <f>ep6_denominazione</f>
        <v>Confartigianato Imprese Vigevano e Lomellina</v>
      </c>
    </row>
    <row r="58" spans="1:4" ht="15" customHeight="1" x14ac:dyDescent="0.35">
      <c r="A58" s="11" t="s">
        <v>467</v>
      </c>
      <c r="B58" s="5"/>
      <c r="C58" s="6" t="s">
        <v>373</v>
      </c>
      <c r="D58" s="12" t="str">
        <f>ep7_denominazione</f>
        <v>Comufficio</v>
      </c>
    </row>
    <row r="59" spans="1:4" ht="15" customHeight="1" x14ac:dyDescent="0.35">
      <c r="A59" s="11" t="s">
        <v>468</v>
      </c>
      <c r="B59" s="5"/>
      <c r="C59" s="6" t="s">
        <v>374</v>
      </c>
      <c r="D59" s="12">
        <f>ep8_denominazione</f>
        <v>0</v>
      </c>
    </row>
    <row r="60" spans="1:4" ht="15" customHeight="1" x14ac:dyDescent="0.35">
      <c r="A60" s="11" t="s">
        <v>469</v>
      </c>
      <c r="B60" s="5"/>
      <c r="C60" s="6" t="s">
        <v>375</v>
      </c>
      <c r="D60" s="12">
        <f>ep9_denominazione</f>
        <v>0</v>
      </c>
    </row>
    <row r="61" spans="1:4" ht="15" customHeight="1" x14ac:dyDescent="0.35">
      <c r="A61" s="11" t="s">
        <v>470</v>
      </c>
      <c r="B61" s="5"/>
      <c r="C61" s="6" t="s">
        <v>211</v>
      </c>
      <c r="D61" s="12">
        <f>ep10_denominazione</f>
        <v>0</v>
      </c>
    </row>
    <row r="62" spans="1:4" ht="15" customHeight="1" x14ac:dyDescent="0.35">
      <c r="A62" s="11"/>
      <c r="B62" s="5"/>
      <c r="C62" s="5"/>
      <c r="D62" s="5"/>
    </row>
    <row r="63" spans="1:4" ht="60" customHeight="1" x14ac:dyDescent="0.35">
      <c r="A63" s="11"/>
      <c r="B63" s="5"/>
      <c r="C63" s="38" t="s">
        <v>483</v>
      </c>
      <c r="D63" s="38"/>
    </row>
    <row r="64" spans="1:4" ht="262.5" customHeight="1" x14ac:dyDescent="0.35">
      <c r="A64" s="16" t="s">
        <v>471</v>
      </c>
      <c r="B64" s="5"/>
      <c r="C64" s="27" t="s">
        <v>430</v>
      </c>
      <c r="D64" s="15" t="s">
        <v>750</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179687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669</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676</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666</v>
      </c>
    </row>
    <row r="59" spans="2:2" ht="15" customHeight="1" x14ac:dyDescent="0.35">
      <c r="B59" s="24" t="s">
        <v>667</v>
      </c>
    </row>
    <row r="60" spans="2:2" ht="15" customHeight="1" x14ac:dyDescent="0.35">
      <c r="B60" s="24" t="s">
        <v>668</v>
      </c>
    </row>
    <row r="61" spans="2:2" ht="15" customHeight="1" x14ac:dyDescent="0.35">
      <c r="B61" s="24" t="s">
        <v>662</v>
      </c>
    </row>
    <row r="62" spans="2:2" ht="15" customHeight="1" x14ac:dyDescent="0.35">
      <c r="B62" s="24" t="s">
        <v>659</v>
      </c>
    </row>
    <row r="63" spans="2:2" ht="15" customHeight="1" x14ac:dyDescent="0.35">
      <c r="B63" s="24" t="s">
        <v>664</v>
      </c>
    </row>
    <row r="64" spans="2:2" ht="15" customHeight="1" x14ac:dyDescent="0.35">
      <c r="B64" s="24" t="s">
        <v>663</v>
      </c>
    </row>
    <row r="65" spans="2:2" ht="15" customHeight="1" x14ac:dyDescent="0.35">
      <c r="B65" s="24" t="s">
        <v>665</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1796875" defaultRowHeight="15" customHeight="1" x14ac:dyDescent="0.35"/>
  <cols>
    <col min="1" max="1" width="6.26953125" style="24" bestFit="1" customWidth="1"/>
    <col min="2" max="2" width="9.7265625" style="24" bestFit="1" customWidth="1"/>
    <col min="3" max="3" width="6.26953125" style="24" bestFit="1" customWidth="1"/>
    <col min="4" max="4" width="15.1796875" style="24" bestFit="1" customWidth="1"/>
    <col min="5" max="5" width="18.1796875" style="24" bestFit="1" customWidth="1"/>
    <col min="6" max="6" width="19.1796875" style="24" bestFit="1" customWidth="1"/>
    <col min="7" max="7" width="14.54296875" style="24" bestFit="1" customWidth="1"/>
    <col min="8" max="8" width="20.81640625" style="24" bestFit="1" customWidth="1"/>
    <col min="9" max="9" width="16.7265625" style="24" bestFit="1" customWidth="1"/>
    <col min="10" max="10" width="20.54296875" style="24" bestFit="1" customWidth="1"/>
    <col min="11" max="11" width="21.7265625" style="24" bestFit="1" customWidth="1"/>
    <col min="12" max="12" width="20.453125" style="24" bestFit="1" customWidth="1"/>
    <col min="13" max="13" width="16.26953125" style="24" bestFit="1" customWidth="1"/>
    <col min="14" max="14" width="20.1796875" style="24" bestFit="1" customWidth="1"/>
    <col min="15" max="15" width="21.1796875" style="24" bestFit="1" customWidth="1"/>
    <col min="16" max="16" width="23.7265625" style="24" bestFit="1" customWidth="1"/>
    <col min="17" max="17" width="10.7265625" style="24" bestFit="1" customWidth="1"/>
    <col min="18" max="18" width="21.7265625" style="24" bestFit="1" customWidth="1"/>
    <col min="19" max="19" width="9" style="24" bestFit="1" customWidth="1"/>
    <col min="20" max="20" width="9.26953125" style="24" bestFit="1" customWidth="1"/>
    <col min="21" max="21" width="4.453125" style="24" bestFit="1" customWidth="1"/>
    <col min="22" max="22" width="6.7265625" style="24" bestFit="1" customWidth="1"/>
    <col min="23" max="23" width="4.7265625" style="24" bestFit="1" customWidth="1"/>
    <col min="24" max="24" width="13.81640625" style="24" bestFit="1" customWidth="1"/>
    <col min="25" max="25" width="23" style="24" bestFit="1" customWidth="1"/>
    <col min="26" max="26" width="12.26953125" style="24" bestFit="1" customWidth="1"/>
    <col min="27" max="27" width="23" style="24" bestFit="1" customWidth="1"/>
    <col min="28" max="28" width="12.26953125" style="24" bestFit="1" customWidth="1"/>
    <col min="29" max="29" width="23" style="24" bestFit="1" customWidth="1"/>
    <col min="30" max="30" width="12.26953125" style="24" bestFit="1" customWidth="1"/>
    <col min="31" max="31" width="27.1796875" style="24" bestFit="1" customWidth="1"/>
    <col min="32" max="32" width="26.26953125" style="24" bestFit="1" customWidth="1"/>
    <col min="33" max="33" width="27.1796875" style="24" bestFit="1" customWidth="1"/>
    <col min="34" max="34" width="24.54296875" style="24" bestFit="1" customWidth="1"/>
    <col min="35" max="35" width="28" style="24" bestFit="1" customWidth="1"/>
    <col min="36" max="36" width="26.26953125" style="24" bestFit="1" customWidth="1"/>
    <col min="37" max="37" width="27.1796875" style="24" bestFit="1" customWidth="1"/>
    <col min="38" max="38" width="24.54296875" style="24" bestFit="1" customWidth="1"/>
    <col min="39" max="39" width="18.1796875" style="24" bestFit="1" customWidth="1"/>
    <col min="40" max="40" width="16.26953125" style="24" bestFit="1" customWidth="1"/>
    <col min="41" max="41" width="21.453125" style="24" bestFit="1" customWidth="1"/>
    <col min="42" max="42" width="13.54296875" style="24" bestFit="1" customWidth="1"/>
    <col min="43" max="43" width="21.81640625" style="24" bestFit="1" customWidth="1"/>
    <col min="44" max="44" width="22.453125" style="24" bestFit="1" customWidth="1"/>
    <col min="45" max="45" width="32.72656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26953125" style="24" bestFit="1" customWidth="1"/>
    <col min="51" max="51" width="21.453125" style="24" bestFit="1" customWidth="1"/>
    <col min="52" max="52" width="13.54296875" style="24" bestFit="1" customWidth="1"/>
    <col min="53" max="53" width="21.81640625" style="24" bestFit="1" customWidth="1"/>
    <col min="54" max="54" width="22.453125" style="24" bestFit="1" customWidth="1"/>
    <col min="55" max="55" width="32.72656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54296875" style="24" bestFit="1" customWidth="1"/>
    <col min="62" max="62" width="20.81640625" style="24" bestFit="1" customWidth="1"/>
    <col min="63" max="63" width="21.54296875" style="24" bestFit="1" customWidth="1"/>
    <col min="64" max="64" width="15.26953125" style="24" bestFit="1" customWidth="1"/>
    <col min="65" max="65" width="20.7265625" style="24" bestFit="1" customWidth="1"/>
    <col min="66" max="66" width="12.81640625" style="24" bestFit="1" customWidth="1"/>
    <col min="67" max="67" width="21.1796875" style="24" bestFit="1" customWidth="1"/>
    <col min="68" max="68" width="21.81640625" style="24" bestFit="1" customWidth="1"/>
    <col min="69" max="69" width="30.72656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26953125" style="24" bestFit="1" customWidth="1"/>
    <col min="78" max="78" width="35.26953125" style="24" bestFit="1" customWidth="1"/>
    <col min="79" max="79" width="28.7265625" style="24" bestFit="1" customWidth="1"/>
    <col min="80" max="80" width="30.72656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26953125" style="24" bestFit="1" customWidth="1"/>
    <col min="89" max="89" width="35.26953125" style="24" bestFit="1" customWidth="1"/>
    <col min="90" max="90" width="28.7265625" style="24" bestFit="1" customWidth="1"/>
    <col min="91" max="91" width="30.72656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26953125" style="24" bestFit="1" customWidth="1"/>
    <col min="100" max="100" width="35.26953125" style="24" bestFit="1" customWidth="1"/>
    <col min="101" max="101" width="28.7265625" style="24" bestFit="1" customWidth="1"/>
    <col min="102" max="102" width="30.72656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26953125" style="24" bestFit="1" customWidth="1"/>
    <col min="111" max="111" width="35.26953125" style="24" bestFit="1" customWidth="1"/>
    <col min="112" max="112" width="28.7265625" style="24" bestFit="1" customWidth="1"/>
    <col min="113" max="113" width="30.72656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26953125" style="24" bestFit="1" customWidth="1"/>
    <col min="122" max="122" width="35.26953125" style="24" bestFit="1" customWidth="1"/>
    <col min="123" max="123" width="28.7265625" style="24" bestFit="1" customWidth="1"/>
    <col min="124" max="124" width="30.72656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26953125" style="24" bestFit="1" customWidth="1"/>
    <col min="133" max="133" width="35.26953125" style="24" bestFit="1" customWidth="1"/>
    <col min="134" max="134" width="28.7265625" style="24" bestFit="1" customWidth="1"/>
    <col min="135" max="135" width="30.72656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26953125" style="24" bestFit="1" customWidth="1"/>
    <col min="144" max="144" width="35.26953125" style="24" bestFit="1" customWidth="1"/>
    <col min="145" max="145" width="28.7265625" style="24" bestFit="1" customWidth="1"/>
    <col min="146" max="146" width="30.72656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26953125" style="24" bestFit="1" customWidth="1"/>
    <col min="155" max="155" width="35.26953125" style="24" bestFit="1" customWidth="1"/>
    <col min="156" max="156" width="28.7265625" style="24" bestFit="1" customWidth="1"/>
    <col min="157" max="157" width="30.72656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26953125" style="24" bestFit="1" customWidth="1"/>
    <col min="166" max="166" width="35.26953125" style="24" bestFit="1" customWidth="1"/>
    <col min="167" max="167" width="28.7265625" style="24" bestFit="1" customWidth="1"/>
    <col min="168" max="168" width="31.72656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26953125" style="24" bestFit="1" customWidth="1"/>
    <col min="178" max="178" width="29.81640625" style="24" bestFit="1" customWidth="1"/>
    <col min="179" max="179" width="20.54296875" style="24" bestFit="1" customWidth="1"/>
    <col min="180" max="180" width="12.7265625" style="24" bestFit="1" customWidth="1"/>
    <col min="181" max="181" width="14.81640625" style="24" bestFit="1" customWidth="1"/>
    <col min="182" max="182" width="21.1796875" style="24" bestFit="1" customWidth="1"/>
    <col min="183" max="183" width="38.26953125" style="24" bestFit="1" customWidth="1"/>
    <col min="184" max="184" width="11" style="24" bestFit="1" customWidth="1"/>
    <col min="185" max="185" width="31.26953125" style="24" bestFit="1" customWidth="1"/>
    <col min="186" max="186" width="44" style="24" bestFit="1" customWidth="1"/>
    <col min="187" max="187" width="20.54296875" style="24" bestFit="1" customWidth="1"/>
    <col min="188" max="188" width="12.7265625" style="24" bestFit="1" customWidth="1"/>
    <col min="189" max="189" width="14.81640625" style="24" bestFit="1" customWidth="1"/>
    <col min="190" max="190" width="21.1796875" style="24" bestFit="1" customWidth="1"/>
    <col min="191" max="191" width="38.26953125" style="24" bestFit="1" customWidth="1"/>
    <col min="192" max="192" width="11" style="24" bestFit="1" customWidth="1"/>
    <col min="193" max="193" width="31.26953125" style="24" bestFit="1" customWidth="1"/>
    <col min="194" max="194" width="44" style="24" bestFit="1" customWidth="1"/>
    <col min="195" max="195" width="20.54296875" style="24" bestFit="1" customWidth="1"/>
    <col min="196" max="196" width="12.7265625" style="24" bestFit="1" customWidth="1"/>
    <col min="197" max="197" width="14.81640625" style="24" bestFit="1" customWidth="1"/>
    <col min="198" max="198" width="21.1796875" style="24" bestFit="1" customWidth="1"/>
    <col min="199" max="199" width="38.26953125" style="24" bestFit="1" customWidth="1"/>
    <col min="200" max="200" width="11" style="24" bestFit="1" customWidth="1"/>
    <col min="201" max="201" width="31.26953125" style="24" bestFit="1" customWidth="1"/>
    <col min="202" max="202" width="44" style="24" bestFit="1" customWidth="1"/>
    <col min="203" max="203" width="33.54296875" style="24" bestFit="1" customWidth="1"/>
    <col min="204" max="204" width="40.7265625" style="24" bestFit="1" customWidth="1"/>
    <col min="205" max="205" width="33.54296875" style="24" bestFit="1" customWidth="1"/>
    <col min="206" max="206" width="40.7265625" style="24" bestFit="1" customWidth="1"/>
    <col min="207" max="16384" width="9.17968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Antonio</v>
      </c>
      <c r="B2" s="24" t="str">
        <f>cognome</f>
        <v>Bologna</v>
      </c>
      <c r="C2" s="24" t="str">
        <f>sesso</f>
        <v>M</v>
      </c>
      <c r="D2" s="24" t="str">
        <f>stato_nascita</f>
        <v>Italia</v>
      </c>
      <c r="E2" s="24" t="str">
        <f>comune_nascita</f>
        <v>Vigevano</v>
      </c>
      <c r="F2" s="24" t="str">
        <f>provincia_nascita</f>
        <v>Pavia</v>
      </c>
      <c r="G2" s="24" t="str">
        <f>data_nascita</f>
        <v>1967</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f>partita_iva</f>
        <v>0</v>
      </c>
      <c r="R2" s="24">
        <f>intestatario_partita_iva</f>
        <v>0</v>
      </c>
      <c r="S2" s="24">
        <f>telefono</f>
        <v>0</v>
      </c>
      <c r="T2" s="24">
        <f>cellulare</f>
        <v>0</v>
      </c>
      <c r="U2" s="24">
        <f>fax</f>
        <v>0</v>
      </c>
      <c r="V2" s="24">
        <f>email</f>
        <v>0</v>
      </c>
      <c r="W2" s="24">
        <f>pec</f>
        <v>0</v>
      </c>
      <c r="X2" s="24" t="str">
        <f>lingua_madre</f>
        <v>Italiano</v>
      </c>
      <c r="Y2" s="24" t="str">
        <f>lingua1</f>
        <v>Inglese</v>
      </c>
      <c r="Z2" s="24" t="str">
        <f>lingua1_livello</f>
        <v>7 Professionale</v>
      </c>
      <c r="AA2" s="24" t="str">
        <f>lingua2</f>
        <v>Francese</v>
      </c>
      <c r="AB2" s="24" t="str">
        <f>lingua2_livello</f>
        <v>2 Elementare</v>
      </c>
      <c r="AC2" s="24">
        <f>lingua3</f>
        <v>0</v>
      </c>
      <c r="AD2" s="24">
        <f>lingua3_livello</f>
        <v>0</v>
      </c>
      <c r="AE2" s="24" t="str">
        <f>spec_principale</f>
        <v>MANIFATTURIERO_AVANZATO</v>
      </c>
      <c r="AF2" s="24" t="str">
        <f>ads1_principale</f>
        <v>MA1 Produzione con processi innovativi</v>
      </c>
      <c r="AG2" s="24" t="str">
        <f>ads1_secondaria</f>
        <v>MA4 Manufacturing per prodotti personalizzati</v>
      </c>
      <c r="AH2" s="24" t="str">
        <f>ads1_terziaria</f>
        <v>MA3 Sistemi di produzione ad alta efficienza</v>
      </c>
      <c r="AI2" s="24" t="str">
        <f>spec_secondaria</f>
        <v>INDUSTRIE_CREATIVE_E_CULTURALI</v>
      </c>
      <c r="AJ2" s="24" t="str">
        <f>ads2_principale</f>
        <v>ICC3 Strumentazione e sensoristica per la diagnostica e la sicurezza dei Beni Culturali</v>
      </c>
      <c r="AK2" s="24" t="str">
        <f>ads2_secondaria</f>
        <v>ICC4 Moda e Design</v>
      </c>
      <c r="AL2" s="24" t="str">
        <f>ads2_terziaria</f>
        <v>ICC5 Esperienze coinvolgenti, sicure e partecipative dei contenuti digitali</v>
      </c>
      <c r="AM2" s="24" t="str">
        <f>l1_tipo</f>
        <v>Vecchio ordinamento</v>
      </c>
      <c r="AN2" s="24" t="str">
        <f>l1_tema</f>
        <v>Scienze dell'Informazione</v>
      </c>
      <c r="AO2" s="24" t="str">
        <f>l1_anno</f>
        <v>1991</v>
      </c>
      <c r="AP2" s="24" t="str">
        <f>l1_presso</f>
        <v>Università degli Studi di Milano</v>
      </c>
      <c r="AQ2" s="24" t="str">
        <f>l1_titolo</f>
        <v>Studi per una formalizzazione della diteggiatura pianistica</v>
      </c>
      <c r="AR2" s="24" t="str">
        <f>l1_voto</f>
        <v>99</v>
      </c>
      <c r="AS2" s="24">
        <f>l11_tema</f>
        <v>0</v>
      </c>
      <c r="AT2" s="24">
        <f>l11_anno</f>
        <v>0</v>
      </c>
      <c r="AU2" s="24">
        <f>l11_presso</f>
        <v>0</v>
      </c>
      <c r="AV2" s="24">
        <f>l11_titolo</f>
        <v>0</v>
      </c>
      <c r="AW2" s="24" t="str">
        <f>l2_tipo</f>
        <v>Vecchio ordinamento</v>
      </c>
      <c r="AX2" s="24" t="str">
        <f>l2_tema</f>
        <v>Pianoforte</v>
      </c>
      <c r="AY2" s="24" t="str">
        <f>l2_anno</f>
        <v>1986</v>
      </c>
      <c r="AZ2" s="24" t="str">
        <f>l2_presso</f>
        <v>Conservatorio Giuseppe Verdi Milano</v>
      </c>
      <c r="BA2" s="24">
        <f>l2_titolo</f>
        <v>0</v>
      </c>
      <c r="BB2" s="24" t="str">
        <f>l2_voto</f>
        <v>8.75</v>
      </c>
      <c r="BC2" s="24">
        <f>l21_tema</f>
        <v>0</v>
      </c>
      <c r="BD2" s="24">
        <f>l21_anno</f>
        <v>0</v>
      </c>
      <c r="BE2" s="24">
        <f>l21_presso</f>
        <v>0</v>
      </c>
      <c r="BF2" s="24">
        <f>l21_titolo</f>
        <v>0</v>
      </c>
      <c r="BG2" s="24">
        <f>dot_tema</f>
        <v>0</v>
      </c>
      <c r="BH2" s="24">
        <f>dot_anno</f>
        <v>0</v>
      </c>
      <c r="BI2" s="24">
        <f>dot_presso</f>
        <v>0</v>
      </c>
      <c r="BJ2" s="24">
        <f>dot_titolo</f>
        <v>0</v>
      </c>
      <c r="BK2" s="24">
        <f>dot_voto</f>
        <v>0</v>
      </c>
      <c r="BL2" s="24">
        <f>m2l_tema</f>
        <v>0</v>
      </c>
      <c r="BM2" s="24">
        <f>m2l_anno</f>
        <v>0</v>
      </c>
      <c r="BN2" s="24">
        <f>m2l_presso</f>
        <v>0</v>
      </c>
      <c r="BO2" s="24">
        <f>m2l_titolo</f>
        <v>0</v>
      </c>
      <c r="BP2" s="24">
        <f>m2l_voto</f>
        <v>0</v>
      </c>
      <c r="BQ2" s="24">
        <f>ep1_inizio</f>
        <v>34700</v>
      </c>
      <c r="BR2" s="24" t="str">
        <f>ep1_fine</f>
        <v>In corso</v>
      </c>
      <c r="BS2" s="24" t="str">
        <f>ep1_denominazione</f>
        <v>Vigevano Web</v>
      </c>
      <c r="BT2" s="24" t="str">
        <f>ep1_comune</f>
        <v xml:space="preserve">Vigevano </v>
      </c>
      <c r="BU2" s="24" t="str">
        <f>ep1_provincia</f>
        <v>PV</v>
      </c>
      <c r="BV2" s="24" t="str">
        <f>ep1_dimensione</f>
        <v>1 Micro impresa (&lt; 10 dipendenti)</v>
      </c>
      <c r="BW2" s="24" t="str">
        <f>ep1_settore</f>
        <v>ICT, sviluppo territoriale, management di progetto, reti di impresa, internazionalizzazione</v>
      </c>
      <c r="BX2" s="24" t="str">
        <f>ep1_ambito</f>
        <v>Privato</v>
      </c>
      <c r="BY2" s="24" t="str">
        <f>ep1_rife</f>
        <v>Entrambe</v>
      </c>
      <c r="BZ2" s="24" t="str">
        <f>ep1_attivita</f>
        <v>Attività di coordinamento di progetti sia per imprese in forma singola sia per aggregazioni di imprese; attività di sviluppo territoriale, attraverso progettualità orientate verso le tematiche strategiche di indirizzo per lo sviluppo regionale, in particolare le sfide tecnologiche S3 e Open Innovation; Project management in campo ICT, innovazione, Internazionalizzazione, reti di impresa; sostegno e incubazione di start up</v>
      </c>
      <c r="CA2" s="24" t="str">
        <f>ep1_resp</f>
        <v>Amministrazione generale dell’impresa per le attività straordinarie e ordinarie</v>
      </c>
      <c r="CB2" s="24">
        <f>ep2_inizio</f>
        <v>36100</v>
      </c>
      <c r="CC2" s="24" t="str">
        <f>ep2_fine</f>
        <v>In corso</v>
      </c>
      <c r="CD2" s="24" t="str">
        <f>ep2_denominazione</f>
        <v>Diapason Consortium</v>
      </c>
      <c r="CE2" s="24" t="str">
        <f>ep2_comune</f>
        <v>Vigevano</v>
      </c>
      <c r="CF2" s="24" t="str">
        <f>ep2_provincia</f>
        <v>PV</v>
      </c>
      <c r="CG2" s="24" t="str">
        <f>ep2_dimensione</f>
        <v>1 Micro impresa (&lt; 10 dipendenti)</v>
      </c>
      <c r="CH2" s="24" t="str">
        <f>ep2_settore</f>
        <v>ICT, internazionalizzazione, valorizzazione culturale, promozione territoriale</v>
      </c>
      <c r="CI2" s="24" t="str">
        <f>ep2_ambito</f>
        <v>Privato</v>
      </c>
      <c r="CJ2" s="24" t="str">
        <f>ep2_rife</f>
        <v>Entrambe</v>
      </c>
      <c r="CK2" s="24" t="str">
        <f>ep2_attivita</f>
        <v xml:space="preserve">Supporto ai consorziati negli ambiti ICT, dell’internazionalizzazione, della valorizzazione culturale e promozione del territorio; orientamento delle attività consortili secondo una marcata connotazione culturale, di servizio alla persona e al territorio, secondo un modello di rete di imprese nella quale trovano spazio di espressione non solo le componenti tecniche, scientifiche economiche e culturali ma anche quelle estetiche ed emotive ed affettive secondo una visione integrale dell’uomo.
 </v>
      </c>
      <c r="CL2" s="24" t="str">
        <f>ep2_resp</f>
        <v>Project management per l’innovazione del consorzio e delle imprese consorziate, formazione tecnica e artistica</v>
      </c>
      <c r="CM2" s="24" t="str">
        <f>ep3_inizio</f>
        <v>02/01/2011</v>
      </c>
      <c r="CN2" s="24" t="str">
        <f>ep3_fine</f>
        <v>31/12/2012</v>
      </c>
      <c r="CO2" s="24" t="str">
        <f>ep3_denominazione</f>
        <v>CESTEC, Regione Lombardia</v>
      </c>
      <c r="CP2" s="24" t="str">
        <f>ep3_comune</f>
        <v>Milano</v>
      </c>
      <c r="CQ2" s="24" t="str">
        <f>ep3_provincia</f>
        <v>Milano</v>
      </c>
      <c r="CR2" s="24" t="str">
        <f>ep3_dimensione</f>
        <v>2 Piccola impresa (&lt; 50 dipendenti)</v>
      </c>
      <c r="CS2" s="24" t="str">
        <f>ep3_settore</f>
        <v xml:space="preserve">Cultura dell’innovazione, internazionalizzazione, promozione dell'attenzione all’ambiente
</v>
      </c>
      <c r="CT2" s="24" t="str">
        <f>ep3_ambito</f>
        <v>Pubblico</v>
      </c>
      <c r="CU2" s="24" t="str">
        <f>ep3_rife</f>
        <v>Entrambe</v>
      </c>
      <c r="CV2" s="24" t="str">
        <f>ep3_attivita</f>
        <v>Coordinamento di progetto nel settore innovazione per due imprese nell'ambito del programma "Dinameeting"</v>
      </c>
      <c r="CW2" s="24" t="str">
        <f>ep3_resp</f>
        <v xml:space="preserve">Temporary Management </v>
      </c>
      <c r="CX2" s="24" t="str">
        <f>ep4_inizio</f>
        <v>01/06/1997</v>
      </c>
      <c r="CY2" s="24" t="str">
        <f>ep4_fine</f>
        <v>30/06/2007</v>
      </c>
      <c r="CZ2" s="24" t="str">
        <f>ep4_denominazione</f>
        <v>Orchestra Sinfonica Nazionale della RAI, Radiotelevisione Italiana</v>
      </c>
      <c r="DA2" s="24" t="str">
        <f>ep4_comune</f>
        <v>Torino</v>
      </c>
      <c r="DB2" s="24" t="str">
        <f>ep4_provincia</f>
        <v>To</v>
      </c>
      <c r="DC2" s="24" t="str">
        <f>ep4_dimensione</f>
        <v>4 Grande impresa o multinazionale</v>
      </c>
      <c r="DD2" s="24" t="str">
        <f>ep4_settore</f>
        <v>Musica</v>
      </c>
      <c r="DE2" s="24" t="str">
        <f>ep4_ambito</f>
        <v>Pubblico</v>
      </c>
      <c r="DF2" s="24" t="str">
        <f>ep4_rife</f>
        <v>Macro-area secondaria (MA2)</v>
      </c>
      <c r="DG2" s="24" t="str">
        <f>ep4_attivita</f>
        <v>Pianista concertante, compositore</v>
      </c>
      <c r="DH2" s="24" t="str">
        <f>ep4_resp</f>
        <v>Supporto tecnico e artistico alle attività del centro di produzione di Torino</v>
      </c>
      <c r="DI2" s="24" t="str">
        <f>ep5_inizio</f>
        <v>01/05/2006</v>
      </c>
      <c r="DJ2" s="24" t="str">
        <f>ep5_fine</f>
        <v>30/06/2011</v>
      </c>
      <c r="DK2" s="24" t="str">
        <f>ep5_denominazione</f>
        <v>Medium Size SRL</v>
      </c>
      <c r="DL2" s="24" t="str">
        <f>ep5_comune</f>
        <v xml:space="preserve">Vigevano </v>
      </c>
      <c r="DM2" s="24" t="str">
        <f>ep5_provincia</f>
        <v>PV</v>
      </c>
      <c r="DN2" s="24" t="str">
        <f>ep5_dimensione</f>
        <v>1 Micro impresa (&lt; 10 dipendenti)</v>
      </c>
      <c r="DO2" s="24" t="str">
        <f>ep5_settore</f>
        <v>Project management, comunicazione, organizzazione eventi, formazione manageriale</v>
      </c>
      <c r="DP2" s="24" t="str">
        <f>ep5_ambito</f>
        <v>Privato</v>
      </c>
      <c r="DQ2" s="24" t="str">
        <f>ep5_rife</f>
        <v>Entrambe</v>
      </c>
      <c r="DR2" s="24" t="str">
        <f>ep5_attivita</f>
        <v>Management per l’avvio dell’impresa; Progettazione e coordinamento di campagne di comunicazione; Formazione aziendale rivolta ai manager; Allestimento di eventi artistici culturali e di comunicazione; Project management per le attività straordinarie; produzione artistica su basi innovative</v>
      </c>
      <c r="DS2" s="24" t="str">
        <f>ep5_resp</f>
        <v>Amministrazione generale dell’impresa per le attività ordinarie</v>
      </c>
      <c r="DT2" s="24" t="str">
        <f>ep6_inizio</f>
        <v>02/05/2005</v>
      </c>
      <c r="DU2" s="24" t="str">
        <f>ep6_fine</f>
        <v>In corso</v>
      </c>
      <c r="DV2" s="24" t="str">
        <f>ep6_denominazione</f>
        <v>Confartigianato Imprese Vigevano e Lomellina</v>
      </c>
      <c r="DW2" s="24" t="str">
        <f>ep6_comune</f>
        <v xml:space="preserve">Vigevano </v>
      </c>
      <c r="DX2" s="24" t="str">
        <f>ep6_provincia</f>
        <v>PV</v>
      </c>
      <c r="DY2" s="24" t="str">
        <f>ep6_dimensione</f>
        <v>2 Piccola impresa (&lt; 50 dipendenti)</v>
      </c>
      <c r="DZ2" s="24" t="str">
        <f>ep6_settore</f>
        <v>Rappresentanza d'impresa</v>
      </c>
      <c r="EA2" s="24" t="str">
        <f>ep6_ambito</f>
        <v>Privato</v>
      </c>
      <c r="EB2" s="24" t="str">
        <f>ep6_rife</f>
        <v>Entrambe</v>
      </c>
      <c r="EC2" s="24" t="str">
        <f>ep6_attivita</f>
        <v>Consulenze per progetti di finanziamento regionali e nazionali, Responsabile della comunicazione, Project management di “tecno piattaforma-Vig”</v>
      </c>
      <c r="ED2" s="24" t="str">
        <f>ep6_resp</f>
        <v xml:space="preserve">Dirigenza categoria ICT in ambito locale, regionale e nazionale
</v>
      </c>
      <c r="EE2" s="24" t="str">
        <f>ep7_inizio</f>
        <v>07/01/2014</v>
      </c>
      <c r="EF2" s="24" t="str">
        <f>ep7_fine</f>
        <v>In corso</v>
      </c>
      <c r="EG2" s="24" t="str">
        <f>ep7_denominazione</f>
        <v>Comufficio</v>
      </c>
      <c r="EH2" s="24" t="str">
        <f>ep7_comune</f>
        <v>Milano</v>
      </c>
      <c r="EI2" s="24" t="str">
        <f>ep7_provincia</f>
        <v>MI</v>
      </c>
      <c r="EJ2" s="24" t="str">
        <f>ep7_dimensione</f>
        <v>2 Piccola impresa (&lt; 50 dipendenti)</v>
      </c>
      <c r="EK2" s="24" t="str">
        <f>ep7_settore</f>
        <v>Rappresentatività settore ICT, servizi riservati agli associati a supporto della gestione delle aziende</v>
      </c>
      <c r="EL2" s="24" t="str">
        <f>ep7_ambito</f>
        <v>Privato</v>
      </c>
      <c r="EM2" s="24" t="str">
        <f>ep7_rife</f>
        <v>Macro-area principale (MA1)</v>
      </c>
      <c r="EN2" s="24" t="str">
        <f>ep7_attivita</f>
        <v>Consulenza esterna nell'attività di supporto alle Imprese associate nella definizione di progetti singoli o in aggregazione con eventuale accesso ai fondi di finanziamento pubblici e privati; project management dei progetti in via di realizzazione</v>
      </c>
      <c r="EO2" s="24" t="str">
        <f>ep7_resp</f>
        <v>Temporary management</v>
      </c>
      <c r="EP2" s="24" t="str">
        <f>ep8_inizio</f>
        <v>gg/mm/aaaa</v>
      </c>
      <c r="EQ2" s="24" t="str">
        <f>ep8_fine</f>
        <v>gg/mm/aaaa</v>
      </c>
      <c r="ER2" s="24">
        <f>ep8_denominazione</f>
        <v>0</v>
      </c>
      <c r="ES2" s="24">
        <f>ep8_comune</f>
        <v>0</v>
      </c>
      <c r="ET2" s="24">
        <f>ep8_provincia</f>
        <v>0</v>
      </c>
      <c r="EU2" s="24">
        <f>ep8_dimensione</f>
        <v>0</v>
      </c>
      <c r="EV2" s="24">
        <f>ep8_settore</f>
        <v>0</v>
      </c>
      <c r="EW2" s="24">
        <f>ep8_ambito</f>
        <v>0</v>
      </c>
      <c r="EX2" s="24">
        <f>ep8_rife</f>
        <v>0</v>
      </c>
      <c r="EY2" s="24">
        <f>ep8_attivita</f>
        <v>0</v>
      </c>
      <c r="EZ2" s="24">
        <f>ep8_resp</f>
        <v>0</v>
      </c>
      <c r="FA2" s="24" t="str">
        <f>ep9_inizio</f>
        <v>gg/mm/aaaa</v>
      </c>
      <c r="FB2" s="24" t="str">
        <f>ep9_fine</f>
        <v>gg/mm/aaaa</v>
      </c>
      <c r="FC2" s="24">
        <f>ep9_denominazione</f>
        <v>0</v>
      </c>
      <c r="FD2" s="24">
        <f>ep9_comune</f>
        <v>0</v>
      </c>
      <c r="FE2" s="24">
        <f>ep9_provincia</f>
        <v>0</v>
      </c>
      <c r="FF2" s="24">
        <f>ep9_dimensione</f>
        <v>0</v>
      </c>
      <c r="FG2" s="24">
        <f>ep9_settore</f>
        <v>0</v>
      </c>
      <c r="FH2" s="24">
        <f>ep9_ambito</f>
        <v>0</v>
      </c>
      <c r="FI2" s="24">
        <f>ep9_rife</f>
        <v>0</v>
      </c>
      <c r="FJ2" s="24">
        <f>ep9_attivita</f>
        <v>0</v>
      </c>
      <c r="FK2" s="24">
        <f>ep9_resp</f>
        <v>0</v>
      </c>
      <c r="FL2" s="24" t="str">
        <f>ep10_inizio</f>
        <v>gg/mm/aaaa</v>
      </c>
      <c r="FM2" s="24" t="str">
        <f>ep10_fine</f>
        <v>gg/mm/aaaa</v>
      </c>
      <c r="FN2" s="24">
        <f>ep10_denominazione</f>
        <v>0</v>
      </c>
      <c r="FO2" s="24">
        <f>ep10_comune</f>
        <v>0</v>
      </c>
      <c r="FP2" s="24">
        <f>ep10_provincia</f>
        <v>0</v>
      </c>
      <c r="FQ2" s="24">
        <f>ep10_dimensione</f>
        <v>0</v>
      </c>
      <c r="FR2" s="24">
        <f>ep10_settore</f>
        <v>0</v>
      </c>
      <c r="FS2" s="24">
        <f>ep10_ambito</f>
        <v>0</v>
      </c>
      <c r="FT2" s="24">
        <f>ep10_rife</f>
        <v>0</v>
      </c>
      <c r="FU2" s="24">
        <f>ep10_attivita</f>
        <v>0</v>
      </c>
      <c r="FV2" s="24">
        <f>ep10_resp</f>
        <v>0</v>
      </c>
      <c r="FW2" s="24" t="str">
        <f>bando1_ente</f>
        <v>Regione Lombardia (esperienza di valutazione su commissione di Confartigianato Lombardia)</v>
      </c>
      <c r="FX2" s="24" t="str">
        <f>bando1_ambito</f>
        <v>1 Regionale</v>
      </c>
      <c r="FY2" s="24" t="str">
        <f>bando1_tema</f>
        <v>1 Innovazione e competitività</v>
      </c>
      <c r="FZ2" s="24" t="str">
        <f>bando1_misura</f>
        <v>SMART LIVING, Bando per la presentazione di Progetti di sviluppo sperimentale e innovazione (S&amp;I) a favore della filiera dello “Smart Living”, in attuazione della legge regionale 26/2015 “Manifattura diffusa, creativa e tecnologica 4.0” (BURL Serie Ordinaria n. 46 - Venerdì 18 novembre 2016)</v>
      </c>
      <c r="GA2" s="24" t="str">
        <f>bando1_descr</f>
        <v>Stimolare la collaborazione tra imprese e mondo accademico nell’ottica di “filiera allargata”, favorire il dialogo del sistema imprenditoriale con quello dell’offerta di servizi qualificati e innovativi,
rafforzare le capacità tecnologico-organizzative e manageriali delle PMI, potenziare e migliorare la promozione dell’export, nonché valorizzare le “filiere d’eccellenza territoriali”, sostenere Progetti di S&amp;I, realizzati da partenariati di imprese in collaborazione con il Sistema delle Università, finalizzati all’introduzione di prodotti, processi/servizi nuovi o migliorativi dal punto di vista tecnologico, produttivo e organizzativo, per valorizzare il tema dell’”Abitare intelligente”, con specifico riferimento ai settori Edilizia, Arredo-Legno-Casa e High-tech.</v>
      </c>
      <c r="GB2" s="24" t="str">
        <f>bando1_anno</f>
        <v>2016</v>
      </c>
      <c r="GC2" s="24" t="str">
        <f>bando1_proj_val</f>
        <v>1 Fino a 10</v>
      </c>
      <c r="GD2" s="24" t="str">
        <f>bando1_inv_medio</f>
        <v>3 Da 200.000 a 500.000 Euro</v>
      </c>
      <c r="GE2" s="24" t="str">
        <f>bando2_ente</f>
        <v>MISE (valutazione tecnica su commissione di Comufficio, categoriale ICT di Confcommercio)</v>
      </c>
      <c r="GF2" s="24" t="str">
        <f>bando2_ambito</f>
        <v>2 Nazionale</v>
      </c>
      <c r="GG2" s="24" t="str">
        <f>bando2_tema</f>
        <v>1 Innovazione e competitività</v>
      </c>
      <c r="GH2" s="24" t="str">
        <f>bando2_misura</f>
        <v>Voucher per il sostegno di progetti di Digitalizzazione e ammodernamento tecnologico delle P.M.I, d.d. 24 0ttobre 2017 (GU Serie Generale n.258 del 04-11-2017)</v>
      </c>
      <c r="GI2" s="24" t="str">
        <f>bando2_descr</f>
        <v>Favorire la digitalizzazione dei processi aziendali e l'ammodernamento tecnologico delle MPMI, sostenere l’acquisto di software, hardware o servizi per il miglioramento dell'efficienza, la modernizzazione dell'organizzazione del lavoro, lo sviluppo di soluzioni di e-commerce, la connettività a banda larga e ultralarga, il collegamento alla rete internet mediante la tecnologia satellitare, la formazione qualificata del personale nel campo ICT</v>
      </c>
      <c r="GJ2" s="24" t="str">
        <f>bando2_anno</f>
        <v>2017</v>
      </c>
      <c r="GK2" s="24" t="str">
        <f>bando2_proj_val</f>
        <v>1 Fino a 10</v>
      </c>
      <c r="GL2" s="24" t="str">
        <f>bando2_inv_medio</f>
        <v>1 Fino a 50.000 Euro</v>
      </c>
      <c r="GM2" s="24" t="str">
        <f>bando3_ente</f>
        <v xml:space="preserve">MISE (valutazione tecnica su commissione di Confartigianato Lombardia)
</v>
      </c>
      <c r="GN2" s="24" t="str">
        <f>bando3_ambito</f>
        <v>2 Nazionale</v>
      </c>
      <c r="GO2" s="24" t="str">
        <f>bando3_tema</f>
        <v>1 Innovazione e competitività</v>
      </c>
      <c r="GP2" s="24" t="str">
        <f>bando3_misura</f>
        <v>Bando Reti di impresa per l’Artigianato Digitale
DM 21 Giugno 2016 (GU Serie Generale n.190 del 16-08-2016)</v>
      </c>
      <c r="GQ2" s="24" t="str">
        <f>bando3_descr</f>
        <v xml:space="preserve">Agevolazioni in favore di aggregazioni di Imprese riunitesi allo scopo di promuovere attività innovative nell’ambito dell’artigianato digitale e della manifattura sostenibile (centri per l’artigianato digitale, incubatori che facilitino lo sviluppo innovativo di realtà imprenditoriali operanti nell’ambito dell’artigianato digitale, centri finalizzati all’erogazione di servizi di fabbricazione digitale).
</v>
      </c>
      <c r="GR2" s="24" t="str">
        <f>bando3_anno</f>
        <v>2016</v>
      </c>
      <c r="GS2" s="24" t="str">
        <f>bando3_proj_val</f>
        <v>1 Fino a 10</v>
      </c>
      <c r="GT2" s="24" t="str">
        <f>bando3_inv_medio</f>
        <v>3 Da 200.000 a 500.000 Euro</v>
      </c>
      <c r="GU2" s="24" t="str">
        <f>ads1_motivazioni_cs</f>
        <v xml:space="preserve">Il cursus studiorum trasversale all’ambito scientifico-informatico (LAU1) e a quello artistico-musicale (LAU2) (coronato dal diploma in composizione, dal diploma e dal master di primo livello in direzione d’orchestra) consente ad Antonio Bologna di maturare una sistematica riflessione circa il bisogno di recuperare una visione olistica della conoscenza e di ritrovare un gesto espressivo unitario, secondo l’impianto filosofico di Severino Boezio. La visione boeziana è, sin dal tempo degli studi accademici, posta al servizio dello sviluppo di competenze riconducibili alla Macro Area principale di riferimento (MA1): il contributo principale della tesi di laurea, primo approdo e sintesi della formazione “bifronte” di Antonio Bologna, infatti, con il titolo "Studi per una formalizzazione della diteggiatura pianistica", è la stesura di un programma per computer capace di diteggiare un brano musicale, secondo un modello che simula il comportamento della mano umana; il tratto peculiare di questo programma è che il modello di mano viene descritto da una matrice numerica che può variare in funzione del tipo di musica da suonare, del tocco o delle caratteristiche fisiche dell'interprete, insomma da ciò che comunemente viene definito "stile" del pianista.
Dal punto di vista computazionale la diteggiatura personalizzata viene ricavata applicando l'algoritmo di Dijkstra al grafo pesato costruito applicando la matrice personalizzata al brano musicale da diteggiare. È dunque possibile individuare negli studi di Antonio Bologna uno specifico interesse ed approfondimento delle tematiche riconducibili in particolare alla sotto-area secondaria MA4 Manufacturing per prodotti personalizzati. 
</v>
      </c>
      <c r="GV2" s="24" t="str">
        <f>ads1_motivazioni_ep</f>
        <v>Nel corso della propria carriera professionale Antonio Bologna sviluppa competenze negli ambiti della ricerca e dello sviluppo di idee rispondenti alla macro-area principale MA1 e ne coordina le relative progettualità per conto di imprese singole e aggregazioni di imprese. L'origine di tale attività è riconducibile agli anni '90 del 900, all'epoca delle iniziative di sviluppo economico basate sul sistema dei distretti industriali, in particolare il distretto meccano - calzaturiero di Vigevano.  L'attività è proseguita sul medesimo territorio anche negli anni successivi (con il coordinamento a valere sui Bandi Metadistretti) fino a rappresentare il territorio vigevanese sulle tematiche dell'innovazione - smart city in seno al Cluster Lombardo SCC. Negli ultimi anni, in qualità di facilitatore, fa parte del gruppo di lavoro della piattaforma di Open Innovation di Regione Lombardia. In particolare l'attività di project management viene svolta in modalità TEM non solo per conto delle imprese direttamente coinvolte nei progetti ma anche attraverso la mediazione tecnico - istituzionale di organismi di rappresentanza economica; in tal senso sono da considerare significative le sistematiche esperienze riconducibili a EP2, EP6, EP7.</v>
      </c>
      <c r="GW2" s="24" t="str">
        <f>ads2_motivazioni_cs</f>
        <v>Il cursus studiorum trasversale all’ambito scientifico-informatico (LAU1) e a quello artistico-musicale (LAU2) (coronato dal diploma in composizione, dal diploma e dal master di primo livello in direzione d’orchestra) consente ad Antonio Bologna non solo di sviluppare una profonda sensibilità ed attenzione alle tematiche artistico - culturali ma anche di mettere di disposizione di queste le proprie competenze tecnico - informatiche.</v>
      </c>
      <c r="GX2" s="24" t="str">
        <f>ads2_motivazioni_ep</f>
        <v xml:space="preserve">Nel corso della propria carriera professionale Antonio Bologna sviluppa competenze negli ambiti della ricerca e dello sviluppo di idee rispondenti alla macro-area MA2 e ne coordina le relative progettualità per conto di imprese singole e aggregazioni di imprese. L'attività svolta in seno al sistema dei Distretti Industriali (secondo quanto dettagliato nel precedente campo M030) è afferente, in particolare, alla sotto-area secondaria ICC4 Moda e Design. L'attività riconducibile a EP4 risulta fondamentale, in quanto esperienza a contatto diretto con una vera e propria "Industria culturale" e consente ad Antonio Bologna di approfondire le proprie conoscenze riconducibili all'ambito della produzione artistica. Negli anni successivi svolge la propria attività di project management in modalità TEM non solo per conto delle imprese direttamente coinvolte nei progetti ma anche attraverso la mediazione tecnico - istituzionale di organismi di rappresentanza economica; in particolare tale attività lo conduce a sviluppare numerose progettualità riconducibili alle sotto-aree ICC3 Strumentazione e sensoristica per la diagnostica e la sicurezza dei Beni Culturali, ICC4 Moda e Design, ICC5 Esperienze coinvolgenti, sicure e partecipative dei contenuti digitali. In sal senso sono significative EP1, EP2, EP5.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Angela Punzi Regina</cp:lastModifiedBy>
  <cp:lastPrinted>2015-03-19T11:18:15Z</cp:lastPrinted>
  <dcterms:created xsi:type="dcterms:W3CDTF">2015-03-10T11:30:22Z</dcterms:created>
  <dcterms:modified xsi:type="dcterms:W3CDTF">2020-04-29T16:00:17Z</dcterms:modified>
  <cp:contentStatus>Finale</cp:contentStatus>
</cp:coreProperties>
</file>